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735" tabRatio="915"/>
  </bookViews>
  <sheets>
    <sheet name="Summary (Utah)" sheetId="4" r:id="rId1"/>
    <sheet name="Summary (Total Company)" sheetId="5" r:id="rId2"/>
    <sheet name="REC Purchases " sheetId="19" r:id="rId3"/>
    <sheet name="Available Fund Projects" sheetId="1" r:id="rId4"/>
    <sheet name="Project reconciliation " sheetId="14" r:id="rId5"/>
    <sheet name="REC Position Reconciliation " sheetId="18" r:id="rId6"/>
    <sheet name="Avail Fund Details" sheetId="8" r:id="rId7"/>
    <sheet name="Avail Fund Criteria" sheetId="7" r:id="rId8"/>
  </sheets>
  <definedNames>
    <definedName name="_xlnm._FilterDatabase" localSheetId="3" hidden="1">'Available Fund Projects'!$B$1:$K$151</definedName>
    <definedName name="_xlnm._FilterDatabase" localSheetId="2" hidden="1">'REC Purchases '!$A$9:$L$9</definedName>
    <definedName name="_xlnm.Print_Area" localSheetId="6">'Avail Fund Details'!$A$1:$E$56</definedName>
    <definedName name="_xlnm.Print_Area" localSheetId="3">'Available Fund Projects'!$A$1:$H$105</definedName>
    <definedName name="_xlnm.Print_Area" localSheetId="0">'Summary (Utah)'!$A$1:$N$56</definedName>
    <definedName name="_xlnm.Print_Titles" localSheetId="3">'Available Fund Projects'!$36:$36</definedName>
    <definedName name="_xlnm.Print_Titles" localSheetId="0">'Summary (Utah)'!$A:$A</definedName>
  </definedNames>
  <calcPr calcId="152511" calcMode="manual" iterate="1"/>
</workbook>
</file>

<file path=xl/calcChain.xml><?xml version="1.0" encoding="utf-8"?>
<calcChain xmlns="http://schemas.openxmlformats.org/spreadsheetml/2006/main">
  <c r="B32" i="4" l="1"/>
  <c r="B34" i="4" s="1"/>
  <c r="B39" i="4"/>
  <c r="D19" i="1" l="1"/>
  <c r="F91" i="1"/>
  <c r="F93" i="1" s="1"/>
  <c r="C19" i="1" s="1"/>
  <c r="F86" i="1"/>
  <c r="F83" i="1"/>
  <c r="F59" i="1"/>
  <c r="N31" i="4" l="1"/>
  <c r="N20" i="4"/>
  <c r="N19" i="4"/>
  <c r="N18" i="4"/>
  <c r="N17" i="4"/>
  <c r="N16" i="4"/>
  <c r="N15" i="4"/>
  <c r="N14" i="4"/>
  <c r="N13" i="4"/>
  <c r="N8" i="4"/>
  <c r="D11" i="1" s="1"/>
  <c r="D14" i="1" l="1"/>
  <c r="E95" i="19"/>
  <c r="E96" i="19"/>
  <c r="E97" i="19"/>
  <c r="D98" i="19" l="1"/>
  <c r="G98" i="19"/>
  <c r="H98" i="19" s="1"/>
  <c r="F99" i="19"/>
  <c r="C99" i="19"/>
  <c r="D99" i="19"/>
  <c r="G94" i="19"/>
  <c r="E94" i="19"/>
  <c r="G93" i="19"/>
  <c r="E93" i="19"/>
  <c r="G92" i="19"/>
  <c r="E92" i="19"/>
  <c r="G91" i="19"/>
  <c r="E91" i="19"/>
  <c r="G90" i="19"/>
  <c r="E90" i="19"/>
  <c r="G89" i="19"/>
  <c r="E89" i="19"/>
  <c r="G88" i="19"/>
  <c r="E88" i="19"/>
  <c r="G87" i="19"/>
  <c r="H87" i="19" s="1"/>
  <c r="E87" i="19"/>
  <c r="G86" i="19"/>
  <c r="E86" i="19"/>
  <c r="G85" i="19"/>
  <c r="E85" i="19"/>
  <c r="G84" i="19"/>
  <c r="E84" i="19"/>
  <c r="G83" i="19"/>
  <c r="E83" i="19"/>
  <c r="G82" i="19"/>
  <c r="E82" i="19"/>
  <c r="G81" i="19"/>
  <c r="E81" i="19"/>
  <c r="G80" i="19"/>
  <c r="E80" i="19"/>
  <c r="G79" i="19"/>
  <c r="E79" i="19"/>
  <c r="G78" i="19"/>
  <c r="E78" i="19"/>
  <c r="G77" i="19"/>
  <c r="E77" i="19"/>
  <c r="G76" i="19"/>
  <c r="E76" i="19"/>
  <c r="G75" i="19"/>
  <c r="E75" i="19"/>
  <c r="G74" i="19"/>
  <c r="H74" i="19" s="1"/>
  <c r="E74" i="19"/>
  <c r="G73" i="19"/>
  <c r="E73" i="19"/>
  <c r="G72" i="19"/>
  <c r="E72" i="19"/>
  <c r="G71" i="19"/>
  <c r="E71" i="19"/>
  <c r="G70" i="19"/>
  <c r="E70" i="19"/>
  <c r="G69" i="19"/>
  <c r="E69" i="19"/>
  <c r="G68" i="19"/>
  <c r="E68" i="19"/>
  <c r="G67" i="19"/>
  <c r="E67" i="19"/>
  <c r="G66" i="19"/>
  <c r="E66" i="19"/>
  <c r="G65" i="19"/>
  <c r="E65" i="19"/>
  <c r="G64" i="19"/>
  <c r="E64" i="19"/>
  <c r="G63" i="19"/>
  <c r="E63" i="19"/>
  <c r="G62" i="19"/>
  <c r="E62" i="19"/>
  <c r="G61" i="19"/>
  <c r="E61" i="19"/>
  <c r="G60" i="19"/>
  <c r="E60" i="19"/>
  <c r="G59" i="19"/>
  <c r="E59" i="19"/>
  <c r="G58" i="19"/>
  <c r="E58" i="19"/>
  <c r="G57" i="19"/>
  <c r="E57" i="19"/>
  <c r="G56" i="19"/>
  <c r="E56" i="19"/>
  <c r="H56" i="19" s="1"/>
  <c r="G55" i="19"/>
  <c r="E55" i="19"/>
  <c r="G54" i="19"/>
  <c r="E54" i="19"/>
  <c r="G53" i="19"/>
  <c r="E53" i="19"/>
  <c r="G52" i="19"/>
  <c r="E52" i="19"/>
  <c r="G51" i="19"/>
  <c r="E51" i="19"/>
  <c r="G50" i="19"/>
  <c r="E50" i="19"/>
  <c r="G49" i="19"/>
  <c r="E49" i="19"/>
  <c r="G48" i="19"/>
  <c r="E48" i="19"/>
  <c r="G47" i="19"/>
  <c r="E47" i="19"/>
  <c r="G46" i="19"/>
  <c r="E46" i="19"/>
  <c r="G45" i="19"/>
  <c r="E45" i="19"/>
  <c r="G44" i="19"/>
  <c r="E44" i="19"/>
  <c r="G43" i="19"/>
  <c r="E43" i="19"/>
  <c r="G42" i="19"/>
  <c r="H42" i="19" s="1"/>
  <c r="E42" i="19"/>
  <c r="G41" i="19"/>
  <c r="E41" i="19"/>
  <c r="G40" i="19"/>
  <c r="H40" i="19" s="1"/>
  <c r="E40" i="19"/>
  <c r="G39" i="19"/>
  <c r="E39" i="19"/>
  <c r="G38" i="19"/>
  <c r="E38" i="19"/>
  <c r="G37" i="19"/>
  <c r="E37" i="19"/>
  <c r="G36" i="19"/>
  <c r="E36" i="19"/>
  <c r="H36" i="19" s="1"/>
  <c r="G35" i="19"/>
  <c r="E35" i="19"/>
  <c r="G34" i="19"/>
  <c r="E34" i="19"/>
  <c r="G33" i="19"/>
  <c r="E33" i="19"/>
  <c r="G32" i="19"/>
  <c r="E32" i="19"/>
  <c r="G31" i="19"/>
  <c r="E31" i="19"/>
  <c r="G30" i="19"/>
  <c r="E30" i="19"/>
  <c r="G29" i="19"/>
  <c r="E29" i="19"/>
  <c r="G28" i="19"/>
  <c r="E28" i="19"/>
  <c r="G27" i="19"/>
  <c r="E27" i="19"/>
  <c r="G26" i="19"/>
  <c r="E26" i="19"/>
  <c r="G25" i="19"/>
  <c r="E25" i="19"/>
  <c r="G24" i="19"/>
  <c r="E24" i="19"/>
  <c r="G23" i="19"/>
  <c r="E23" i="19"/>
  <c r="G22" i="19"/>
  <c r="E22" i="19"/>
  <c r="G21" i="19"/>
  <c r="E21" i="19"/>
  <c r="G20" i="19"/>
  <c r="E20" i="19"/>
  <c r="H20" i="19" s="1"/>
  <c r="G19" i="19"/>
  <c r="E19" i="19"/>
  <c r="G18" i="19"/>
  <c r="E18" i="19"/>
  <c r="G17" i="19"/>
  <c r="E17" i="19"/>
  <c r="G16" i="19"/>
  <c r="E16" i="19"/>
  <c r="G15" i="19"/>
  <c r="E15" i="19"/>
  <c r="G14" i="19"/>
  <c r="E14" i="19"/>
  <c r="G13" i="19"/>
  <c r="E13" i="19"/>
  <c r="G12" i="19"/>
  <c r="E12" i="19"/>
  <c r="G11" i="19"/>
  <c r="E11" i="19"/>
  <c r="G10" i="19"/>
  <c r="E10" i="19"/>
  <c r="H94" i="19" l="1"/>
  <c r="H55" i="19"/>
  <c r="H91" i="19"/>
  <c r="H44" i="19"/>
  <c r="H76" i="19"/>
  <c r="H88" i="19"/>
  <c r="E99" i="19"/>
  <c r="H13" i="19"/>
  <c r="H15" i="19"/>
  <c r="H17" i="19"/>
  <c r="H19" i="19"/>
  <c r="H47" i="19"/>
  <c r="H24" i="19"/>
  <c r="H48" i="19"/>
  <c r="H59" i="19"/>
  <c r="H61" i="19"/>
  <c r="H63" i="19"/>
  <c r="H71" i="19"/>
  <c r="H79" i="19"/>
  <c r="H64" i="19"/>
  <c r="H80" i="19"/>
  <c r="H29" i="19"/>
  <c r="H31" i="19"/>
  <c r="H33" i="19"/>
  <c r="H35" i="19"/>
  <c r="H50" i="19"/>
  <c r="H52" i="19"/>
  <c r="H67" i="19"/>
  <c r="H69" i="19"/>
  <c r="H82" i="19"/>
  <c r="H84" i="19"/>
  <c r="H10" i="19"/>
  <c r="H12" i="19"/>
  <c r="H16" i="19"/>
  <c r="H22" i="19"/>
  <c r="H45" i="19"/>
  <c r="H58" i="19"/>
  <c r="H60" i="19"/>
  <c r="H75" i="19"/>
  <c r="H77" i="19"/>
  <c r="H90" i="19"/>
  <c r="H92" i="19"/>
  <c r="H26" i="19"/>
  <c r="H28" i="19"/>
  <c r="H32" i="19"/>
  <c r="H38" i="19"/>
  <c r="H51" i="19"/>
  <c r="H53" i="19"/>
  <c r="H66" i="19"/>
  <c r="H68" i="19"/>
  <c r="H72" i="19"/>
  <c r="H83" i="19"/>
  <c r="H85" i="19"/>
  <c r="H23" i="19"/>
  <c r="H39" i="19"/>
  <c r="H46" i="19"/>
  <c r="H54" i="19"/>
  <c r="H57" i="19"/>
  <c r="H62" i="19"/>
  <c r="H65" i="19"/>
  <c r="H70" i="19"/>
  <c r="H73" i="19"/>
  <c r="H78" i="19"/>
  <c r="H81" i="19"/>
  <c r="H86" i="19"/>
  <c r="H89" i="19"/>
  <c r="H11" i="19"/>
  <c r="H18" i="19"/>
  <c r="H25" i="19"/>
  <c r="H27" i="19"/>
  <c r="H34" i="19"/>
  <c r="H41" i="19"/>
  <c r="H43" i="19"/>
  <c r="H93" i="19"/>
  <c r="H14" i="19"/>
  <c r="H21" i="19"/>
  <c r="H30" i="19"/>
  <c r="H37" i="19"/>
  <c r="H49" i="19"/>
  <c r="G99" i="19"/>
  <c r="H99" i="19" l="1"/>
  <c r="C8" i="18"/>
  <c r="N33" i="4"/>
  <c r="C5" i="14" l="1"/>
  <c r="D17" i="18"/>
  <c r="C16" i="18"/>
  <c r="D16" i="18" s="1"/>
  <c r="C15" i="18"/>
  <c r="D15" i="18" s="1"/>
  <c r="D14" i="18"/>
  <c r="D10" i="18"/>
  <c r="D9" i="18"/>
  <c r="D8" i="18"/>
  <c r="D7" i="18"/>
  <c r="C39" i="4"/>
  <c r="N24" i="4"/>
  <c r="D12" i="1" s="1"/>
  <c r="N10" i="4"/>
  <c r="D13" i="1" s="1"/>
  <c r="N33" i="5"/>
  <c r="D16" i="1" l="1"/>
  <c r="N21" i="4"/>
  <c r="N23" i="4" s="1"/>
  <c r="N25" i="4" s="1"/>
  <c r="N31" i="5"/>
  <c r="N20" i="5" l="1"/>
  <c r="N19" i="5"/>
  <c r="N18" i="5"/>
  <c r="N17" i="5"/>
  <c r="N16" i="5"/>
  <c r="N15" i="5"/>
  <c r="N14" i="5"/>
  <c r="N13" i="5"/>
  <c r="N10" i="5"/>
  <c r="C13" i="1" s="1"/>
  <c r="N8" i="5"/>
  <c r="C11" i="1" s="1"/>
  <c r="M24" i="5"/>
  <c r="M21" i="5"/>
  <c r="M23" i="5" s="1"/>
  <c r="M25" i="5" s="1"/>
  <c r="M21" i="4"/>
  <c r="M23" i="4" s="1"/>
  <c r="M25" i="4" s="1"/>
  <c r="C14" i="1" l="1"/>
  <c r="E25" i="8"/>
  <c r="C25" i="8"/>
  <c r="B5" i="14" l="1"/>
  <c r="D10" i="1" l="1"/>
  <c r="C10" i="1"/>
  <c r="F95" i="1" l="1"/>
  <c r="L21" i="4" l="1"/>
  <c r="L23" i="4" s="1"/>
  <c r="K21" i="4"/>
  <c r="K23" i="4" s="1"/>
  <c r="J21" i="4"/>
  <c r="J23" i="4" s="1"/>
  <c r="I21" i="4"/>
  <c r="I23" i="4" s="1"/>
  <c r="H21" i="4"/>
  <c r="H23" i="4" s="1"/>
  <c r="G21" i="4"/>
  <c r="G23" i="4" s="1"/>
  <c r="F21" i="4"/>
  <c r="F23" i="4" s="1"/>
  <c r="E21" i="4"/>
  <c r="E23" i="4" s="1"/>
  <c r="D21" i="4"/>
  <c r="D23" i="4" s="1"/>
  <c r="C21" i="4"/>
  <c r="C23" i="4" s="1"/>
  <c r="B21" i="4"/>
  <c r="I23" i="5"/>
  <c r="H23" i="5"/>
  <c r="G23" i="5"/>
  <c r="L21" i="5"/>
  <c r="L23" i="5" s="1"/>
  <c r="K21" i="5"/>
  <c r="K23" i="5" s="1"/>
  <c r="J21" i="5"/>
  <c r="J23" i="5" s="1"/>
  <c r="I21" i="5"/>
  <c r="H21" i="5"/>
  <c r="G21" i="5"/>
  <c r="F21" i="5"/>
  <c r="F23" i="5" s="1"/>
  <c r="E21" i="5"/>
  <c r="E23" i="5" s="1"/>
  <c r="D21" i="5"/>
  <c r="D23" i="5" s="1"/>
  <c r="C21" i="5"/>
  <c r="C23" i="5" s="1"/>
  <c r="B21" i="5"/>
  <c r="N21" i="5" s="1"/>
  <c r="B23" i="5" l="1"/>
  <c r="D17" i="1"/>
  <c r="E22" i="8" l="1"/>
  <c r="C22" i="8"/>
  <c r="M32" i="4" l="1"/>
  <c r="F97" i="1" l="1"/>
  <c r="M32" i="5"/>
  <c r="N24" i="5" l="1"/>
  <c r="C12" i="1" s="1"/>
  <c r="C16" i="1" s="1"/>
  <c r="C17" i="1" s="1"/>
  <c r="C19" i="8" l="1"/>
  <c r="C11" i="14" l="1"/>
  <c r="B11" i="14" l="1"/>
  <c r="E19" i="8" l="1"/>
  <c r="C20" i="1" l="1"/>
  <c r="C26" i="1" l="1"/>
  <c r="C21" i="1"/>
  <c r="C23" i="1" s="1"/>
  <c r="D20" i="1"/>
  <c r="L25" i="5"/>
  <c r="K25" i="5"/>
  <c r="J25" i="5"/>
  <c r="I25" i="5"/>
  <c r="H25" i="5"/>
  <c r="G25" i="5"/>
  <c r="F25" i="5"/>
  <c r="E25" i="5"/>
  <c r="D25" i="5"/>
  <c r="C25" i="5"/>
  <c r="B25" i="5"/>
  <c r="D26" i="1" l="1"/>
  <c r="D21" i="1"/>
  <c r="D23" i="1" s="1"/>
  <c r="M34" i="4"/>
  <c r="L32" i="4"/>
  <c r="L34" i="4" s="1"/>
  <c r="K32" i="4"/>
  <c r="K34" i="4" s="1"/>
  <c r="J32" i="4"/>
  <c r="J34" i="4" s="1"/>
  <c r="I32" i="4"/>
  <c r="I34" i="4" s="1"/>
  <c r="H32" i="4"/>
  <c r="H34" i="4" s="1"/>
  <c r="G32" i="4"/>
  <c r="G34" i="4" s="1"/>
  <c r="F32" i="4"/>
  <c r="F34" i="4" s="1"/>
  <c r="E32" i="4"/>
  <c r="E34" i="4" s="1"/>
  <c r="D32" i="4"/>
  <c r="D34" i="4" s="1"/>
  <c r="C32" i="4"/>
  <c r="C34" i="4" s="1"/>
  <c r="N32" i="4" l="1"/>
  <c r="N34" i="4" s="1"/>
  <c r="L32" i="5"/>
  <c r="K32" i="5"/>
  <c r="J32" i="5"/>
  <c r="I32" i="5"/>
  <c r="H32" i="5"/>
  <c r="G32" i="5"/>
  <c r="F32" i="5"/>
  <c r="E32" i="5"/>
  <c r="D32" i="5"/>
  <c r="C32" i="5"/>
  <c r="B32" i="5"/>
  <c r="N32" i="5" l="1"/>
  <c r="N34" i="5" s="1"/>
  <c r="D27" i="1"/>
  <c r="D28" i="1" s="1"/>
  <c r="D30" i="1" s="1"/>
  <c r="C27" i="1"/>
  <c r="C28" i="1" s="1"/>
  <c r="C30" i="1" s="1"/>
  <c r="E16" i="8"/>
  <c r="C16" i="8"/>
  <c r="D39" i="4"/>
  <c r="E39" i="4" s="1"/>
  <c r="G39" i="4" s="1"/>
  <c r="E13" i="8"/>
  <c r="C13" i="8"/>
  <c r="C4" i="8"/>
  <c r="E4" i="8"/>
  <c r="C7" i="8"/>
  <c r="E7" i="8"/>
  <c r="C10" i="8"/>
  <c r="E10" i="8"/>
  <c r="M34" i="5"/>
  <c r="L34" i="5"/>
  <c r="K34" i="5"/>
  <c r="J34" i="5"/>
  <c r="I34" i="5"/>
  <c r="H34" i="5"/>
  <c r="G34" i="5"/>
  <c r="F34" i="5"/>
  <c r="E34" i="5"/>
  <c r="D34" i="5"/>
  <c r="C34" i="5"/>
  <c r="B34" i="5"/>
  <c r="E39" i="5"/>
  <c r="F39" i="5" s="1"/>
  <c r="H39" i="5" s="1"/>
  <c r="J25" i="4" l="1"/>
  <c r="F25" i="4"/>
  <c r="B23" i="4"/>
  <c r="B25" i="4" s="1"/>
  <c r="I25" i="4"/>
  <c r="E25" i="4"/>
  <c r="L25" i="4"/>
  <c r="H25" i="4"/>
  <c r="D25" i="4"/>
  <c r="K25" i="4"/>
  <c r="G25" i="4"/>
  <c r="C25" i="4"/>
  <c r="N25" i="5"/>
  <c r="N23" i="5"/>
</calcChain>
</file>

<file path=xl/comments1.xml><?xml version="1.0" encoding="utf-8"?>
<comments xmlns="http://schemas.openxmlformats.org/spreadsheetml/2006/main">
  <authors>
    <author>Author</author>
  </authors>
  <commentList>
    <comment ref="H5" authorId="0" shapeId="0">
      <text>
        <r>
          <rPr>
            <sz val="8"/>
            <color indexed="81"/>
            <rFont val="Tahoma"/>
            <family val="2"/>
          </rPr>
          <t xml:space="preserve">
Utah Block sales in CY 2013 46.62% of company-wide  (PP and RMP) block sales.  
</t>
        </r>
      </text>
    </comment>
    <comment ref="A98" authorId="0" shapeId="0">
      <text>
        <r>
          <rPr>
            <sz val="8"/>
            <color indexed="81"/>
            <rFont val="Tahoma"/>
            <family val="2"/>
          </rPr>
          <t xml:space="preserve">August to October 2013 applied to CY 2014 Block sales. 
</t>
        </r>
      </text>
    </comment>
  </commentList>
</comments>
</file>

<file path=xl/sharedStrings.xml><?xml version="1.0" encoding="utf-8"?>
<sst xmlns="http://schemas.openxmlformats.org/spreadsheetml/2006/main" count="899" uniqueCount="360">
  <si>
    <t>The following criteria are considered equally - however if any one measure carries more weight it is community benefit:</t>
  </si>
  <si>
    <t>Each application is reviewed with the following consideration given to the individual project. Does the project:</t>
  </si>
  <si>
    <t>Completion Date</t>
  </si>
  <si>
    <t>ROCKY MOUNTAIN POWER</t>
  </si>
  <si>
    <t xml:space="preserve">TOTAL </t>
  </si>
  <si>
    <t xml:space="preserve">Customer Communications </t>
  </si>
  <si>
    <t xml:space="preserve">Affinity groups </t>
  </si>
  <si>
    <t xml:space="preserve">Business partnership program </t>
  </si>
  <si>
    <t>Fulfillment-Energy Program Support</t>
  </si>
  <si>
    <t xml:space="preserve">Printed collateral </t>
  </si>
  <si>
    <t xml:space="preserve">Product Management </t>
  </si>
  <si>
    <t>Available Funds</t>
  </si>
  <si>
    <t>*Interest Earned</t>
  </si>
  <si>
    <t>Total Available Funds</t>
  </si>
  <si>
    <t xml:space="preserve">Residential </t>
  </si>
  <si>
    <t xml:space="preserve">Non-Residential </t>
  </si>
  <si>
    <t>Total</t>
  </si>
  <si>
    <t>New</t>
  </si>
  <si>
    <t>Existing</t>
  </si>
  <si>
    <t>Customers</t>
  </si>
  <si>
    <t>Blocks</t>
  </si>
  <si>
    <t>Renewables</t>
  </si>
  <si>
    <t>Product Name</t>
  </si>
  <si>
    <t>Block Size (kWh)</t>
  </si>
  <si>
    <t>Spanish Fork, UT</t>
  </si>
  <si>
    <t>Blocks Sold</t>
  </si>
  <si>
    <t>Sold</t>
  </si>
  <si>
    <t>MWH Sold</t>
  </si>
  <si>
    <t xml:space="preserve">Blue Sky </t>
  </si>
  <si>
    <t xml:space="preserve">Block Product Purchases - Blue Sky Block </t>
  </si>
  <si>
    <t>Generator</t>
  </si>
  <si>
    <t>Net MWH</t>
  </si>
  <si>
    <t>Facility</t>
  </si>
  <si>
    <t>Facility Name</t>
  </si>
  <si>
    <t>of Attestations</t>
  </si>
  <si>
    <t>MWH</t>
  </si>
  <si>
    <t xml:space="preserve">Used to </t>
  </si>
  <si>
    <t>Renewable</t>
  </si>
  <si>
    <t>Date</t>
  </si>
  <si>
    <t>Installation</t>
  </si>
  <si>
    <t>Tradable</t>
  </si>
  <si>
    <t>or Wholesale</t>
  </si>
  <si>
    <t>Location</t>
  </si>
  <si>
    <t>Purchased or</t>
  </si>
  <si>
    <t>Resold or</t>
  </si>
  <si>
    <t xml:space="preserve">Meet Sales </t>
  </si>
  <si>
    <t>Fuel</t>
  </si>
  <si>
    <t>Generated</t>
  </si>
  <si>
    <t>Supplier</t>
  </si>
  <si>
    <t>(City, State)</t>
  </si>
  <si>
    <t>Self Consumed</t>
  </si>
  <si>
    <t>Requirement</t>
  </si>
  <si>
    <t>Type</t>
  </si>
  <si>
    <t>(Mo/Yr)</t>
  </si>
  <si>
    <t>Credits?</t>
  </si>
  <si>
    <t xml:space="preserve">Wind </t>
  </si>
  <si>
    <t>Yes</t>
  </si>
  <si>
    <t>*Ratemaking Treatment effective August 28, 2007</t>
  </si>
  <si>
    <t>Utah Allocated</t>
  </si>
  <si>
    <t>PacifiCorp</t>
  </si>
  <si>
    <t>REVENUES AND COSTS</t>
  </si>
  <si>
    <t>Cost</t>
  </si>
  <si>
    <t>per REC</t>
  </si>
  <si>
    <t>UTAH CUSTOMER PARTICIPATION  - BLOCK PURCHASES AND SALES</t>
  </si>
  <si>
    <t>Total Program MWH</t>
  </si>
  <si>
    <t>Total Cost</t>
  </si>
  <si>
    <t xml:space="preserve">Administration </t>
  </si>
  <si>
    <t xml:space="preserve">100 kWh </t>
  </si>
  <si>
    <t xml:space="preserve">Project Status </t>
  </si>
  <si>
    <t xml:space="preserve">Location </t>
  </si>
  <si>
    <t xml:space="preserve">Technology </t>
  </si>
  <si>
    <t xml:space="preserve">Funding Award </t>
  </si>
  <si>
    <t xml:space="preserve">Outreach services secured by partners who help the company educate customers about the Blue Sky option. </t>
  </si>
  <si>
    <t xml:space="preserve">Recognizing and rewarding the leadership of businesses that have made significant Blue Sky purchases. </t>
  </si>
  <si>
    <t xml:space="preserve">Enrollment processing and new customer welcome packet fulfillment. </t>
  </si>
  <si>
    <t xml:space="preserve">Program support and other miscellaneous charges </t>
  </si>
  <si>
    <t xml:space="preserve">Program oversight including day-to-day operations </t>
  </si>
  <si>
    <t xml:space="preserve">Funding Award Application History </t>
  </si>
  <si>
    <t xml:space="preserve">Total Projects Selected </t>
  </si>
  <si>
    <t>Total Utah Applications Received</t>
  </si>
  <si>
    <t xml:space="preserve">Utah Projects Selected </t>
  </si>
  <si>
    <t xml:space="preserve">2006  Experience </t>
  </si>
  <si>
    <t xml:space="preserve">2006 % Awarded </t>
  </si>
  <si>
    <t xml:space="preserve">2007  Experience </t>
  </si>
  <si>
    <t xml:space="preserve">2007 % Awarded </t>
  </si>
  <si>
    <t xml:space="preserve">Project Standards and Evaluation Criteria </t>
  </si>
  <si>
    <t xml:space="preserve">Rocky Mountain Power favors projects and activities that: </t>
  </si>
  <si>
    <t>Result in the production of renewable electricity</t>
  </si>
  <si>
    <t>Support communities through a strong education and public engagement component</t>
  </si>
  <si>
    <t>Support a Blue Sky customer project</t>
  </si>
  <si>
    <t>Build regional capability</t>
  </si>
  <si>
    <t>Take  advantage of other incentives and tax credits available to support the project </t>
  </si>
  <si>
    <t>Assist in the creation of new renewable electricity sources within PacifiCorp’s Rocky Mountain Power/Pacific Power service areas</t>
  </si>
  <si>
    <t>Stimulate renewable energy development by increasing the capacity of individuals, community groups or other organizations to undertake and support renewable energy development in their respective communities</t>
  </si>
  <si>
    <t>Encourage research and development of renewable energy sources</t>
  </si>
  <si>
    <t>Program Cost Definitions</t>
  </si>
  <si>
    <t xml:space="preserve">2008  Experience </t>
  </si>
  <si>
    <t xml:space="preserve">2008 % Awarded </t>
  </si>
  <si>
    <t>Revenue</t>
  </si>
  <si>
    <t xml:space="preserve">Affinity Groups </t>
  </si>
  <si>
    <t xml:space="preserve">Business Partnership Program </t>
  </si>
  <si>
    <t xml:space="preserve">Printed Collateral </t>
  </si>
  <si>
    <t>Renewable Energy Credits
(Tag) Costs</t>
  </si>
  <si>
    <t>Total Utah Blue Sky Customers</t>
  </si>
  <si>
    <t>Total Monthly 100 kWh Block Sales</t>
  </si>
  <si>
    <t>Total Block Sales MWh</t>
  </si>
  <si>
    <t>Revenues are credited to FERC account 254, Other Regulatory Liabilities</t>
  </si>
  <si>
    <t>Renewable energy credit (RECs or Tags) purchases are debited to FERC account 254, Other Regulatory Liabilities</t>
  </si>
  <si>
    <t>Program expenses are debited to FERC account 254, Other Regulatory Liabilities</t>
  </si>
  <si>
    <t>Renewable Energy Credits 
(Tag) MWh Purchase</t>
  </si>
  <si>
    <t>Renewable Energy Credits 
(Tag) MWh Balance</t>
  </si>
  <si>
    <t xml:space="preserve">Total Costs
(Tags and Program Costs) </t>
  </si>
  <si>
    <t>BLUE SKY PROGRAM</t>
  </si>
  <si>
    <t>TOTAL COMPANY PROGRAM (ALL STATES) AVAILABLE FUNDS</t>
  </si>
  <si>
    <t>Total Company</t>
  </si>
  <si>
    <t>Utah</t>
  </si>
  <si>
    <t xml:space="preserve">2009  Experience </t>
  </si>
  <si>
    <t xml:space="preserve">2009 % Awarded </t>
  </si>
  <si>
    <t xml:space="preserve">IDAHO </t>
  </si>
  <si>
    <t xml:space="preserve">OREGON </t>
  </si>
  <si>
    <t xml:space="preserve">UTAH </t>
  </si>
  <si>
    <t xml:space="preserve">WASHINGTON </t>
  </si>
  <si>
    <t xml:space="preserve">WYOMING </t>
  </si>
  <si>
    <t>Wind</t>
  </si>
  <si>
    <t>Elmore County, ID</t>
  </si>
  <si>
    <t>TOTAL COMPANY CUSTOMER PARTICIPATION  - BLOCK PURCHASES AND SALES</t>
  </si>
  <si>
    <t>Program Costs</t>
  </si>
  <si>
    <t>2010 Experience</t>
  </si>
  <si>
    <t xml:space="preserve">CALIFORNIA </t>
  </si>
  <si>
    <t>Klondike I</t>
  </si>
  <si>
    <t>BLUE SKY BLOCK RENEWABLE ENERGY PROGRAM - UTAH</t>
  </si>
  <si>
    <t>2010 % Awarded</t>
  </si>
  <si>
    <t/>
  </si>
  <si>
    <t>Walla Walla County, WA</t>
  </si>
  <si>
    <t>Sherman County, OR</t>
  </si>
  <si>
    <t>Klondike III</t>
  </si>
  <si>
    <t>2011 Experience</t>
  </si>
  <si>
    <t>2011 % Awarded</t>
  </si>
  <si>
    <t xml:space="preserve">Lander, WY </t>
  </si>
  <si>
    <t xml:space="preserve">Solar </t>
  </si>
  <si>
    <t xml:space="preserve">Medford, OR </t>
  </si>
  <si>
    <t xml:space="preserve">New projects or additions to existing renewable energy projects </t>
  </si>
  <si>
    <t xml:space="preserve">Locally-owned, commercial-scale, with capacity less than 10 MW </t>
  </si>
  <si>
    <t xml:space="preserve">Off-grid projects </t>
  </si>
  <si>
    <t xml:space="preserve">Passive solar or thermal solar systems </t>
  </si>
  <si>
    <t xml:space="preserve">Geothermal heat pump systems </t>
  </si>
  <si>
    <t xml:space="preserve">Residential installations </t>
  </si>
  <si>
    <t xml:space="preserve">Activities not directly related to the capital costs of new renewable energy systems, such as: </t>
  </si>
  <si>
    <t xml:space="preserve">Structural or other site improvements </t>
  </si>
  <si>
    <t xml:space="preserve">Fees incurred for project estimates or bids </t>
  </si>
  <si>
    <t xml:space="preserve">Costs associated with an initial site evaluation </t>
  </si>
  <si>
    <t xml:space="preserve">Landscaping </t>
  </si>
  <si>
    <t xml:space="preserve">Administrative or project management costs </t>
  </si>
  <si>
    <t xml:space="preserve">Maintenance costs </t>
  </si>
  <si>
    <t xml:space="preserve">Note:  Reasonable design costs proposed for the purpose of optimizing the facility’s energy production will be considered, however, Blue Sky funding may not be used to recoup the costs for preliminary designs incurred prior to application submission.  </t>
  </si>
  <si>
    <t>Preferred project characteristics</t>
  </si>
  <si>
    <t xml:space="preserve">Support communities through a strong education and public engagement component </t>
  </si>
  <si>
    <t xml:space="preserve">Are sponsored by a Blue Sky customer/community </t>
  </si>
  <si>
    <t xml:space="preserve">Build regional capability </t>
  </si>
  <si>
    <t xml:space="preserve">Take advantage of other funding sources, incentives and tax credits available to support the project (we recommend using the Database of State Incentives for Renewable Energy(DSIRE) as a resource to identify other funding opportunities) </t>
  </si>
  <si>
    <t xml:space="preserve">Renewable energy project types (those that generate grid-tied electricity) eligible to receive funding through the Blue Sky program must produce new sources of electricity generation fueled by: wind; solar PV; geothermal energy; certified low impact hydro; pipeline or irrigation canal hydropower; wave energy or tidal action; low emissions biomass based on Low-emissions biomass based on digester methane gas from landfills, sewage treatment plants or animal waste and biomass energy based on solid organic fuels from wood, forest or field residues or dedicated crops that do not include wood pieces that have been treated with chemical preservatives such as creosote, pentachlorophenol or copper chrome arsenic.  </t>
  </si>
  <si>
    <t xml:space="preserve">Served by Rocky Mountain Power or Pacific Power  (located in the Rocky Mountain Power or Pacific Power service area) </t>
  </si>
  <si>
    <t xml:space="preserve">Equipped with electronic monitoring system to collect inverter energy production data for a period of five years. The monitoring system must consist of a production history electronic database, web-page component, and a public web link to be added to Rocky Mountain Power or Pacific Power's web page for educational purposes. </t>
  </si>
  <si>
    <t xml:space="preserve">Installations that provide direct financial benefit to a for-profit business may be considered, but only if the organization is a Blue Sky participant at the Visionary level.  All other organizations are expected to enroll as a Blue Sky business partner as of the date the funding award agreement is signed. </t>
  </si>
  <si>
    <t xml:space="preserve">Projects that bring new renewable energy capacity to the region are preferred, though funding research and development projects that encourages renewable energy market transformation and accelerates marketability of renewable energy technologies will be considered. </t>
  </si>
  <si>
    <t xml:space="preserve">Funding is not available for: </t>
  </si>
  <si>
    <t xml:space="preserve">Projects that have received funding through other company programs such as the Utah Solar Incentive program </t>
  </si>
  <si>
    <t>Eligible renewable energy technologies</t>
  </si>
  <si>
    <t xml:space="preserve">Provide strong environmental and economic benefit to local communities and customers </t>
  </si>
  <si>
    <t>Size (kW)</t>
  </si>
  <si>
    <t>Contractual obligation for purchase of RECs from Spanish Fork
Wind Park (2008 through 2013*).</t>
  </si>
  <si>
    <t xml:space="preserve">*Spanish Fork REC purchases.  200,000 contract quantity of RECs. Contract terminates when that amount is delivered to PacifiCorp and paid to seller; 160,000 RECs must be delivered by 11/30/2012.  Total contract $900,000. </t>
  </si>
  <si>
    <t xml:space="preserve">Project Proponent/Host:  Turtle Island Foods </t>
  </si>
  <si>
    <t xml:space="preserve">Location:  Hood River, Oregon   </t>
  </si>
  <si>
    <t xml:space="preserve">2012 Experience </t>
  </si>
  <si>
    <t xml:space="preserve">2012 % Awarded </t>
  </si>
  <si>
    <t>Provide strong environmental and economic benefit to local communities and Rocky Mountain Power/Pacific Power customers</t>
  </si>
  <si>
    <t>Camp Reed Wind Park</t>
  </si>
  <si>
    <t>Yahoo Creek Wind Park</t>
  </si>
  <si>
    <t>Condon Wind Power Project</t>
  </si>
  <si>
    <t>Stateline (WA) - FPL Energy Vansycle LLC</t>
  </si>
  <si>
    <t>Rockland Wind Farm</t>
  </si>
  <si>
    <t>Cassia County, ID</t>
  </si>
  <si>
    <t>Twin Falls County, ID</t>
  </si>
  <si>
    <t>Gilliam County, OR</t>
  </si>
  <si>
    <t>Power County, ID</t>
  </si>
  <si>
    <t>Customer Education and Outreach</t>
  </si>
  <si>
    <t>Funding Requirements &amp; Eligibility  - CY 2012</t>
  </si>
  <si>
    <t xml:space="preserve">Customer Education- Outreach and Customer  Communications </t>
  </si>
  <si>
    <t>Salt Lake City, UT</t>
  </si>
  <si>
    <t xml:space="preserve">Total Blue Sky Customers (Block Option) </t>
  </si>
  <si>
    <t xml:space="preserve">BLUE SKY BLOCK RENEWABLE ENERGY PROGRAM - TOTAL COMPANY                           (Pacific Power &amp; Rocky Mountain Power) </t>
  </si>
  <si>
    <t xml:space="preserve">Customer educational material which includes an enrollment mechanism or directs customers to where they can get more detailed information about the program - could include business reply envelopes, bill inserts, mailings, customer newsletters, and other tactics, support material /collateral, customer recognition programs, participant communications and retention tactics, paid media, outreach services.    </t>
  </si>
  <si>
    <t xml:space="preserve">Promote education in the community on new renewable energy generation and increase knowledge of Blue Sky program </t>
  </si>
  <si>
    <t>Cascade County, MT</t>
  </si>
  <si>
    <t>Block Sales</t>
  </si>
  <si>
    <t>KWhs</t>
  </si>
  <si>
    <t>RECs</t>
  </si>
  <si>
    <t xml:space="preserve">Utah </t>
  </si>
  <si>
    <t xml:space="preserve">January 1, 2013 through December 31, 2013 </t>
  </si>
  <si>
    <t xml:space="preserve">List of New Renewable Purchases and Generation Used to Meet Sales Requirement  - January 2013 - December 2013 </t>
  </si>
  <si>
    <t>For the Period January 2013 - December 2013</t>
  </si>
  <si>
    <t>Community Projects Awarded - 2013</t>
  </si>
  <si>
    <t xml:space="preserve">2013 - COMMUNITY PROJECT FUNDING AWARD COMMITMENTS AND PROJECT STATUS </t>
  </si>
  <si>
    <t xml:space="preserve">January 1, 2013  through December 31, 2013 </t>
  </si>
  <si>
    <t>Horseshoe Bend Wind Park</t>
  </si>
  <si>
    <t>Payne's Ferry Wind Park</t>
  </si>
  <si>
    <t>Salmon Falls Wind Park</t>
  </si>
  <si>
    <t>Thousand Springs Wind Park</t>
  </si>
  <si>
    <t>Tuana Gulch Wind Park</t>
  </si>
  <si>
    <t>Nine Canyon Wind Project</t>
  </si>
  <si>
    <t>Nine Canyon Phase 3</t>
  </si>
  <si>
    <t>Golden Valley Wind Park</t>
  </si>
  <si>
    <t>Milner Dam Wind Park</t>
  </si>
  <si>
    <t>Pilgrim Stage Station Wind Park</t>
  </si>
  <si>
    <t xml:space="preserve">Cassia Gulch Wind Park </t>
  </si>
  <si>
    <t xml:space="preserve">Cassia Wind Farm </t>
  </si>
  <si>
    <t xml:space="preserve">Klondike III </t>
  </si>
  <si>
    <t>Palouse Wind</t>
  </si>
  <si>
    <t>Burley Butte Wind Park</t>
  </si>
  <si>
    <t>Hopkins Ridge</t>
  </si>
  <si>
    <t>Benton County, WA</t>
  </si>
  <si>
    <t>Whitman County, WA</t>
  </si>
  <si>
    <t xml:space="preserve"> $                    -  </t>
  </si>
  <si>
    <t>Yakima,  WA</t>
  </si>
  <si>
    <t>Solar</t>
  </si>
  <si>
    <t xml:space="preserve">2013 Spanish Fork* REC Purchase Using Available Fund Dollars </t>
  </si>
  <si>
    <t>none awarded</t>
  </si>
  <si>
    <t>Bend, OR</t>
  </si>
  <si>
    <t>Portland, OR</t>
  </si>
  <si>
    <t>Astoria, OR</t>
  </si>
  <si>
    <t xml:space="preserve">Hydro </t>
  </si>
  <si>
    <t>Corvallis, OR</t>
  </si>
  <si>
    <t>Hood River, OR</t>
  </si>
  <si>
    <t xml:space="preserve">Bend, OR </t>
  </si>
  <si>
    <t>Klamath Falls, OR</t>
  </si>
  <si>
    <t xml:space="preserve">Geothermal </t>
  </si>
  <si>
    <t>Pendleton, OR</t>
  </si>
  <si>
    <t>Charleston, OR</t>
  </si>
  <si>
    <t>2013 Spanish Fork REC Purchases</t>
  </si>
  <si>
    <t>Riverton, WY</t>
  </si>
  <si>
    <t>West 'Valley City, UT</t>
  </si>
  <si>
    <t>Moab, UT</t>
  </si>
  <si>
    <t>Murray, UT</t>
  </si>
  <si>
    <t>Holladay, UT</t>
  </si>
  <si>
    <t>Ivins, UT</t>
  </si>
  <si>
    <t xml:space="preserve">8-13 kw </t>
  </si>
  <si>
    <t>Park City, UT</t>
  </si>
  <si>
    <t>Cottonwood Heights, UT</t>
  </si>
  <si>
    <t>Midvale, UT</t>
  </si>
  <si>
    <t>Taylorsville, UT</t>
  </si>
  <si>
    <t>Sandy, UT</t>
  </si>
  <si>
    <t>Draper, UT</t>
  </si>
  <si>
    <t xml:space="preserve">Wellsville, UT </t>
  </si>
  <si>
    <t xml:space="preserve">Vernal, UT </t>
  </si>
  <si>
    <t>12,530.16 wind RECs purchased</t>
  </si>
  <si>
    <r>
      <t xml:space="preserve">Customer brochures, fact sheets, window decals, bumper stickers or other printed collateral that increases awareness and provides education.  </t>
    </r>
    <r>
      <rPr>
        <i/>
        <sz val="10"/>
        <rFont val="Gill Sans MT"/>
        <family val="2"/>
      </rPr>
      <t xml:space="preserve">(These expenses can also be covered under customer communications.) </t>
    </r>
  </si>
  <si>
    <r>
      <t>Timeframe</t>
    </r>
    <r>
      <rPr>
        <sz val="10"/>
        <rFont val="Gill Sans MT"/>
        <family val="2"/>
      </rPr>
      <t xml:space="preserve"> - How quickly will the project move forward?  Is the proposed installation timeframe reasonable? Projects are expected to be on line within 12 months, unless agreed to otherwise. Extensions are granted on a project-by-project basis (e.g. installations associated with new construction are expected to be online with 24 months).  </t>
    </r>
  </si>
  <si>
    <r>
      <t>Site</t>
    </r>
    <r>
      <rPr>
        <sz val="10"/>
        <rFont val="Gill Sans MT"/>
        <family val="2"/>
      </rPr>
      <t xml:space="preserve"> – Is the project sponsor ready to proceed with the project (i.e. efforts undertaken related to feasibility, financial agreements, permitting).  Can the site effectively host a renewable energy project? Is permitting required?  Have rights, options or leases been granted to secure site control? What is the probability of the project being built?</t>
    </r>
  </si>
  <si>
    <r>
      <t xml:space="preserve">Project Champion/Project Team </t>
    </r>
    <r>
      <rPr>
        <sz val="10"/>
        <rFont val="Gill Sans MT"/>
        <family val="2"/>
      </rPr>
      <t xml:space="preserve"> - Is there a champion involved in the project that will work to overcome obstacles in making this happen? What is the experience of the developer? </t>
    </r>
  </si>
  <si>
    <r>
      <t>Additionally</t>
    </r>
    <r>
      <rPr>
        <sz val="10"/>
        <rFont val="Gill Sans MT"/>
        <family val="2"/>
      </rPr>
      <t xml:space="preserve"> - Can these funds be used to make the difference in bringing additional renewable resources on line? </t>
    </r>
  </si>
  <si>
    <r>
      <t>Technology</t>
    </r>
    <r>
      <rPr>
        <sz val="10"/>
        <rFont val="Gill Sans MT"/>
        <family val="2"/>
      </rPr>
      <t xml:space="preserve"> - Is the product available in the current year?</t>
    </r>
  </si>
  <si>
    <r>
      <t>Availability</t>
    </r>
    <r>
      <rPr>
        <sz val="10"/>
        <rFont val="Gill Sans MT"/>
        <family val="2"/>
      </rPr>
      <t xml:space="preserve"> - Are the green tags produced available for purchase?</t>
    </r>
  </si>
  <si>
    <r>
      <t>Geography</t>
    </r>
    <r>
      <rPr>
        <sz val="10"/>
        <rFont val="Gill Sans MT"/>
        <family val="2"/>
      </rPr>
      <t xml:space="preserve"> - Proportional contribution to Pacific Power/Rocky Mountain Power service areas: CA, ID, OR, UT, WA, WY based on Blue Sky option customer subscription levels</t>
    </r>
  </si>
  <si>
    <r>
      <t>Community Benefit</t>
    </r>
    <r>
      <rPr>
        <sz val="10"/>
        <rFont val="Gill Sans MT"/>
        <family val="2"/>
      </rPr>
      <t xml:space="preserve"> - Can benefits be leveraged for the benefit of the community and Blue Sky customers?  What are the secondary environmental and economic benefits?</t>
    </r>
  </si>
  <si>
    <t xml:space="preserve">under development </t>
  </si>
  <si>
    <t>na</t>
  </si>
  <si>
    <t xml:space="preserve">2013 Community Project Funding Awards (Committed Funds) </t>
  </si>
  <si>
    <t xml:space="preserve">2013 Spanish Fork REC purchase Using Available Fund Dollars </t>
  </si>
  <si>
    <t xml:space="preserve">Notes:  Information on the projects that received funding in the 2006-2013 period s can be found on the company's website at www.rockymountainpower.net/blueskyprojects and www.pacificpower.net/blueskyprojects. </t>
  </si>
  <si>
    <t>Project detail for 2013 reflects information received through February  2014.  Project sponsors first progress reports are due April 15, 2014.</t>
  </si>
  <si>
    <t>2012 Community Project Funding Committed</t>
  </si>
  <si>
    <t>2013 Blue Sky Revenue</t>
  </si>
  <si>
    <t xml:space="preserve">2013 Blue Sky Accrued Interest </t>
  </si>
  <si>
    <t>2013 Blue Sky Renewable Energy Certificate Expense (REC/TAG)</t>
  </si>
  <si>
    <t xml:space="preserve">2013 Blue Sky Program Costs </t>
  </si>
  <si>
    <t>Total Available Funds Spending 2013</t>
  </si>
  <si>
    <t>Available Funds Balance - December 2013</t>
  </si>
  <si>
    <t xml:space="preserve">Obligation as of December 2012 </t>
  </si>
  <si>
    <t>Obligation as of December 2013</t>
  </si>
  <si>
    <t>Total Renewable Energy</t>
  </si>
  <si>
    <t xml:space="preserve">Portland, OR </t>
  </si>
  <si>
    <t xml:space="preserve">2013 Experience </t>
  </si>
  <si>
    <t xml:space="preserve">2013 % Awarded </t>
  </si>
  <si>
    <t>2013 Utah Blue Sky REC Position Reconciliation</t>
  </si>
  <si>
    <t>2013 Utah Blue Sky Annual Report</t>
  </si>
  <si>
    <t xml:space="preserve">CY 2012 Year-end REC Supply Position Surplus/ (Deficit) </t>
  </si>
  <si>
    <t>CY 2013 Customer Sales</t>
  </si>
  <si>
    <t>CY 2013 Purchases</t>
  </si>
  <si>
    <t xml:space="preserve">CY 2013 Year-end REC Supply Position Surplus/(Deficit) </t>
  </si>
  <si>
    <t>Ending Balance - Available Funds - December 2013</t>
  </si>
  <si>
    <t xml:space="preserve"> </t>
  </si>
  <si>
    <t>2013 Blue Sky Community Project Funding Reconciliation</t>
  </si>
  <si>
    <t>2014</t>
  </si>
  <si>
    <t xml:space="preserve">Through Dec. 2013  - 200,000  RECs had been delivered to PacifiCorp.  </t>
  </si>
  <si>
    <t xml:space="preserve">Return of funds </t>
  </si>
  <si>
    <t xml:space="preserve">Total Returned Funds CY 2013 </t>
  </si>
  <si>
    <t xml:space="preserve">2013 Community Project Funding </t>
  </si>
  <si>
    <t>Beginning Available Fund Balance - December 2012</t>
  </si>
  <si>
    <t xml:space="preserve">TOTAL  - 2013 FUNDING AWARDS COMMITTED </t>
  </si>
  <si>
    <t>2013 TOTAL AVAILABLE FUNDS SPENDING AFTER  COMMITMENTS</t>
  </si>
  <si>
    <t>Medford, OR</t>
  </si>
  <si>
    <t>West Valley City, UT</t>
  </si>
  <si>
    <t xml:space="preserve">Completed by December 31, 2014.  If project is associated with the construction of a new building or structure, a one-year extension may be considered on a case-by-case basis. </t>
  </si>
  <si>
    <t>Customer educational material which includes an enrollment mechanism or directs customers to where they can get more detailed information about the program - could include business reply envelopes, bill inserts, mailings, customer newsletters, and other tactics, support material /collateral, customer recognition programs, participant communications and retention tactics, paid media, outreach services</t>
  </si>
  <si>
    <r>
      <t>Financing</t>
    </r>
    <r>
      <rPr>
        <sz val="10"/>
        <rFont val="Gill Sans MT"/>
        <family val="2"/>
      </rPr>
      <t xml:space="preserve"> – Is there an adequate financial structure that will ensure it’s completion within the timeframe specified?  Is the customer or vendor a reliable business partner?  Do they have longevity at the site or in the technology? Are there undue project risks which would put it in jeopardy?</t>
    </r>
  </si>
  <si>
    <r>
      <t>Fuel Source</t>
    </r>
    <r>
      <rPr>
        <sz val="10"/>
        <rFont val="Gill Sans MT"/>
        <family val="2"/>
      </rPr>
      <t xml:space="preserve"> - Is the renewable resource eligible under the tariff - wind, solar, geothermal, certified low-impact hydro, pipeline or irrigation canal hydroelectric system, wave energy, low-emissions biomass based on digester methane gas from landfills, sewage treatment plants or animal waste and biomass energy based on solid organic fuels from wood, forest or field residues or dedicated crops that do not include wood pieces that have been treated with chemical preservatives such as creosote, pentachlorophenol or copper chrome arsenic to help facilitate the commercial application of renewable energy technologies.</t>
    </r>
  </si>
  <si>
    <r>
      <t>Cost</t>
    </r>
    <r>
      <rPr>
        <sz val="10"/>
        <rFont val="Gill Sans MT"/>
        <family val="2"/>
      </rPr>
      <t xml:space="preserve"> - Are the total project costs and cost-share requested reasonable based on industry standards/for the proposed technology/size/location? </t>
    </r>
  </si>
  <si>
    <r>
      <t>Best Practice Standards</t>
    </r>
    <r>
      <rPr>
        <sz val="10"/>
        <rFont val="Gill Sans MT"/>
        <family val="2"/>
      </rPr>
      <t xml:space="preserve"> - Does the project meet regional Green-e standards or state specific legislation/standards or other applicable governmental environmental impact criteria?</t>
    </r>
  </si>
  <si>
    <t xml:space="preserve">Total Applications Received System wide </t>
  </si>
  <si>
    <t xml:space="preserve">Rockland Wind Farm  - purchase will be applied to CY 2013 and CY 2014 customer purchases;  20,775 RECs will be applied to CY 2013 block sales. </t>
  </si>
  <si>
    <t xml:space="preserve">July - Aug 2013 applied to 2013 Block sales </t>
  </si>
  <si>
    <r>
      <t xml:space="preserve">Beginning Available Fund Balance                                                                                         </t>
    </r>
    <r>
      <rPr>
        <i/>
        <sz val="10"/>
        <rFont val="Gill Sans MT"/>
        <family val="2"/>
      </rPr>
      <t xml:space="preserve">(NOT including 2012 community project funding committed) </t>
    </r>
  </si>
  <si>
    <r>
      <rPr>
        <b/>
        <sz val="10"/>
        <rFont val="Gill Sans MT"/>
        <family val="2"/>
      </rPr>
      <t xml:space="preserve">Alameda Elementary School </t>
    </r>
    <r>
      <rPr>
        <sz val="10"/>
        <rFont val="Gill Sans MT"/>
        <family val="2"/>
      </rPr>
      <t xml:space="preserve">intends to install a solar array as part of the board’s desire to emphasize the need for continuing investment in the district’s facilities. The school serves a population of 765 Pre-K – 5 students. They plan to integrate the system with an educational curriculum that includes a monitoring kiosk. 
</t>
    </r>
  </si>
  <si>
    <r>
      <rPr>
        <b/>
        <sz val="10"/>
        <rFont val="Gill Sans MT"/>
        <family val="2"/>
      </rPr>
      <t xml:space="preserve">Bend Parks &amp; Recreation District  </t>
    </r>
    <r>
      <rPr>
        <sz val="10"/>
        <rFont val="Gill Sans MT"/>
        <family val="2"/>
      </rPr>
      <t>plans to install a solar array atop their LEED Gold-certified Administration building. More than 11,000 people visit the facility annually and even a greater number would be exposed to the solar array.</t>
    </r>
  </si>
  <si>
    <r>
      <rPr>
        <b/>
        <sz val="10"/>
        <rFont val="Gill Sans MT"/>
        <family val="2"/>
      </rPr>
      <t xml:space="preserve">Boise-Eliot, </t>
    </r>
    <r>
      <rPr>
        <sz val="10"/>
        <rFont val="Gill Sans MT"/>
        <family val="2"/>
      </rPr>
      <t xml:space="preserve"> a two-story K-8 school serving a diverse population of 535 students plans to install a roof-top solar array as part of the Portland Public Schools plan to make investments in their facilities and train teachers to incorporate the Solar4RSchools educational curriculum which includes an integrated solar monitoring kiosk.  
</t>
    </r>
  </si>
  <si>
    <r>
      <t>The</t>
    </r>
    <r>
      <rPr>
        <b/>
        <sz val="10"/>
        <rFont val="Gill Sans MT"/>
        <family val="2"/>
      </rPr>
      <t xml:space="preserve"> City of Astoria </t>
    </r>
    <r>
      <rPr>
        <sz val="10"/>
        <rFont val="Gill Sans MT"/>
        <family val="2"/>
      </rPr>
      <t>plans to build an in-conduit pressure reduction turbine system using the hydro resource available in the Bear Creek water distribution network that uses the excess pressure in the City’s municipal water supply lines to generate hydropower.</t>
    </r>
  </si>
  <si>
    <r>
      <t xml:space="preserve">The </t>
    </r>
    <r>
      <rPr>
        <b/>
        <sz val="10"/>
        <rFont val="Gill Sans MT"/>
        <family val="2"/>
      </rPr>
      <t xml:space="preserve">City of Corvallis </t>
    </r>
    <r>
      <rPr>
        <sz val="10"/>
        <rFont val="Gill Sans MT"/>
        <family val="2"/>
      </rPr>
      <t>plans to install a ground-mounted solar array at their wastewater treatment plant.  The project site can accommodate up to 2 MW of photovoltaic modules, and the initial phase of the project will provide the needed conduit backbone and other hardware to allow for future system expansion with minimal equipment or preparation. The site is highly visible from the adjoining highway. A partnership with the local high schools and university will also provide increased visibility through field trips and on-site engagement.</t>
    </r>
  </si>
  <si>
    <r>
      <rPr>
        <b/>
        <sz val="10"/>
        <rFont val="Gill Sans MT"/>
        <family val="2"/>
      </rPr>
      <t>Coyote Trails School of Nature</t>
    </r>
    <r>
      <rPr>
        <sz val="10"/>
        <rFont val="Gill Sans MT"/>
        <family val="2"/>
      </rPr>
      <t xml:space="preserve"> provides outdoor nature education to over 22,000 children of all ages.  They plan to install a roof-mounted solar array on their new pavilion structure.  
</t>
    </r>
  </si>
  <si>
    <r>
      <rPr>
        <b/>
        <sz val="10"/>
        <rFont val="Gill Sans MT"/>
        <family val="2"/>
      </rPr>
      <t xml:space="preserve">Hood River Valley High School </t>
    </r>
    <r>
      <rPr>
        <sz val="10"/>
        <rFont val="Gill Sans MT"/>
        <family val="2"/>
      </rPr>
      <t>with a student body of 1,400 students in grades 9-12 plans to install a roof-mounted array and a series of awnings.  This system is expected to offer students a hands-on tool that will be incorporated into the school’s curriculum at varying levels.</t>
    </r>
  </si>
  <si>
    <r>
      <rPr>
        <b/>
        <sz val="10"/>
        <rFont val="Gill Sans MT"/>
        <family val="2"/>
      </rPr>
      <t>Lava Ridge Elementary School,</t>
    </r>
    <r>
      <rPr>
        <sz val="10"/>
        <rFont val="Gill Sans MT"/>
        <family val="2"/>
      </rPr>
      <t xml:space="preserve"> recently awarded a Green School certification from the Oregon Green Schools Association for meeting its established goals to reduce waste and electricity, plans to install a roof-mounted photovoltaic (PV) system that would be visible from the entrance of the school. </t>
    </r>
  </si>
  <si>
    <r>
      <t>The</t>
    </r>
    <r>
      <rPr>
        <b/>
        <sz val="10"/>
        <rFont val="Gill Sans MT"/>
        <family val="2"/>
      </rPr>
      <t xml:space="preserve"> Maggie Gibson Plaza</t>
    </r>
    <r>
      <rPr>
        <sz val="10"/>
        <rFont val="Gill Sans MT"/>
        <family val="2"/>
      </rPr>
      <t xml:space="preserve">, a mixed-use commercial and residential property plans to install a rooftop solar array and equip the lobby of the building with an educational monitoring kiosk. </t>
    </r>
  </si>
  <si>
    <r>
      <t xml:space="preserve">The </t>
    </r>
    <r>
      <rPr>
        <b/>
        <sz val="10"/>
        <rFont val="Gill Sans MT"/>
        <family val="2"/>
      </rPr>
      <t>Oregon Institute of Technology</t>
    </r>
    <r>
      <rPr>
        <sz val="10"/>
        <rFont val="Gill Sans MT"/>
        <family val="2"/>
      </rPr>
      <t xml:space="preserve"> plans to build a project that utilizes binary cycle geothermal technology custom built for 194°F water temperatures.   The students at OIT will be able to access and research both plants to compare technologies and efficiencies. 
</t>
    </r>
  </si>
  <si>
    <r>
      <t>The</t>
    </r>
    <r>
      <rPr>
        <b/>
        <sz val="10"/>
        <rFont val="Gill Sans MT"/>
        <family val="2"/>
      </rPr>
      <t xml:space="preserve"> Pendleton Army Air Support Facility -</t>
    </r>
    <r>
      <rPr>
        <sz val="10"/>
        <rFont val="Gill Sans MT"/>
        <family val="2"/>
      </rPr>
      <t xml:space="preserve"> part of the Oregon National Guard plans to install a ground-mounted solar array  that will be located next to the AASF airfield services building, near the Pendleton Airport.  </t>
    </r>
  </si>
  <si>
    <r>
      <rPr>
        <b/>
        <sz val="10"/>
        <rFont val="Gill Sans MT"/>
        <family val="2"/>
      </rPr>
      <t>St Mary’s School,</t>
    </r>
    <r>
      <rPr>
        <sz val="10"/>
        <rFont val="Gill Sans MT"/>
        <family val="2"/>
      </rPr>
      <t xml:space="preserve"> a private Catholic school for grades 6-12 serving approximately 460 students plans to install a solar array on their newly built Arts Facility.  
</t>
    </r>
  </si>
  <si>
    <r>
      <rPr>
        <b/>
        <sz val="10"/>
        <rFont val="Gill Sans MT"/>
        <family val="2"/>
      </rPr>
      <t>The Next Door Inc.,</t>
    </r>
    <r>
      <rPr>
        <sz val="10"/>
        <rFont val="Gill Sans MT"/>
        <family val="2"/>
      </rPr>
      <t xml:space="preserve"> (NDI) the largest social service agency in the county serving children and families with a mission to promote safety, health, and values and providing an on-site alternative school and outpatient day treatment facility plans to install a solar awning. 
</t>
    </r>
  </si>
  <si>
    <r>
      <rPr>
        <b/>
        <sz val="10"/>
        <rFont val="Gill Sans MT"/>
        <family val="2"/>
      </rPr>
      <t>The Oregon Institute of Marine Biology</t>
    </r>
    <r>
      <rPr>
        <sz val="10"/>
        <rFont val="Gill Sans MT"/>
        <family val="2"/>
      </rPr>
      <t xml:space="preserve"> plans to install a wind turbine at their new Marine Life Center which is envisioned as a museum and aquarium serving as a campus focal point for community outreach and education programs, serving tens of thousands each year.   </t>
    </r>
  </si>
  <si>
    <r>
      <t>The</t>
    </r>
    <r>
      <rPr>
        <b/>
        <sz val="10"/>
        <rFont val="Gill Sans MT"/>
        <family val="2"/>
      </rPr>
      <t xml:space="preserve"> Associated General Contractors</t>
    </r>
    <r>
      <rPr>
        <sz val="10"/>
        <rFont val="Gill Sans MT"/>
        <family val="2"/>
      </rPr>
      <t xml:space="preserve"> of Utah, a nonprofit trade organization representing the construction industry throughout Utah plans to install a roof-top solar project on their new LEED Gold Certified headquarters building.
</t>
    </r>
  </si>
  <si>
    <r>
      <rPr>
        <b/>
        <sz val="10"/>
        <rFont val="Gill Sans MT"/>
        <family val="2"/>
      </rPr>
      <t xml:space="preserve">Congregation Kol Ami </t>
    </r>
    <r>
      <rPr>
        <sz val="10"/>
        <rFont val="Gill Sans MT"/>
        <family val="2"/>
      </rPr>
      <t xml:space="preserve">is a faith-based center that houses a school and community center utilized by the larger community. They plan to install a solar project that will expose their visitors to renewable energy technology.  </t>
    </r>
  </si>
  <si>
    <r>
      <rPr>
        <b/>
        <sz val="10"/>
        <rFont val="Gill Sans MT"/>
        <family val="2"/>
      </rPr>
      <t xml:space="preserve">East Hollywood High School (EHHS), </t>
    </r>
    <r>
      <rPr>
        <sz val="10"/>
        <rFont val="Gill Sans MT"/>
        <family val="2"/>
      </rPr>
      <t xml:space="preserve">a small public charter school plans to install a solar array that will help students understand the importance of reducing dependence on fossil fuels and underscore the importance of energy efficiency to students, faculty and staff and their families. 
</t>
    </r>
  </si>
  <si>
    <r>
      <rPr>
        <b/>
        <sz val="10"/>
        <rFont val="Gill Sans MT"/>
        <family val="2"/>
      </rPr>
      <t xml:space="preserve">Grand County School District </t>
    </r>
    <r>
      <rPr>
        <sz val="10"/>
        <rFont val="Gill Sans MT"/>
        <family val="2"/>
      </rPr>
      <t xml:space="preserve">plans to install a biomass system that utilizes diesel generators that have been converted to use filtered waste vegetable oil as a fuel source. 
</t>
    </r>
  </si>
  <si>
    <r>
      <rPr>
        <b/>
        <sz val="10"/>
        <rFont val="Gill Sans MT"/>
        <family val="2"/>
      </rPr>
      <t>Cottonwood High School,</t>
    </r>
    <r>
      <rPr>
        <sz val="10"/>
        <rFont val="Gill Sans MT"/>
        <family val="2"/>
      </rPr>
      <t xml:space="preserve"> one of Murray’s largest and most spacious campuses in the state, plans to install a roof-top solar array creating a real-world laboratory for the general student population and those enrolled in the on-campus charter school.
</t>
    </r>
  </si>
  <si>
    <r>
      <rPr>
        <b/>
        <sz val="10"/>
        <rFont val="Gill Sans MT"/>
        <family val="2"/>
      </rPr>
      <t>Holladay United Church of Christ</t>
    </r>
    <r>
      <rPr>
        <sz val="10"/>
        <rFont val="Gill Sans MT"/>
        <family val="2"/>
      </rPr>
      <t xml:space="preserve"> is a small but active congregation of 350 members whose facilities also serve as a place for outreach activities in the greater community, including food and clothing drives for the homeless plans to install a roof-top solar array. 
</t>
    </r>
  </si>
  <si>
    <r>
      <rPr>
        <b/>
        <sz val="10"/>
        <rFont val="Gill Sans MT"/>
        <family val="2"/>
      </rPr>
      <t xml:space="preserve">I.J. &amp; Jeanné Wagner Jewish Community Center (JCC), </t>
    </r>
    <r>
      <rPr>
        <sz val="10"/>
        <rFont val="Gill Sans MT"/>
        <family val="2"/>
      </rPr>
      <t xml:space="preserve"> a nonprofit community center and healthy living facility in the heart of the University of Utah plans to  install a solar project and use the installation as a way to teach members about the connection between health, environmental responsibility and energy.
</t>
    </r>
  </si>
  <si>
    <r>
      <t xml:space="preserve">The </t>
    </r>
    <r>
      <rPr>
        <b/>
        <sz val="10"/>
        <rFont val="Gill Sans MT"/>
        <family val="2"/>
      </rPr>
      <t xml:space="preserve">City of Ivins </t>
    </r>
    <r>
      <rPr>
        <sz val="10"/>
        <rFont val="Gill Sans MT"/>
        <family val="2"/>
      </rPr>
      <t xml:space="preserve">plans to install solar modules on a variety of small outdoor structures as well as an artistic installation on two pole-mounted support structures at Unity Park, the largest park in Ivins which is widely used in the community.
</t>
    </r>
  </si>
  <si>
    <r>
      <rPr>
        <b/>
        <sz val="10"/>
        <rFont val="Gill Sans MT"/>
        <family val="2"/>
      </rPr>
      <t xml:space="preserve">NeighborWorks, </t>
    </r>
    <r>
      <rPr>
        <sz val="10"/>
        <rFont val="Gill Sans MT"/>
        <family val="2"/>
      </rPr>
      <t xml:space="preserve">a nonprofit housing education and advocacy organization plans a roof-top solar installation and is expected to provide an opportunity for potential homeowners to learn about solar energy.
</t>
    </r>
  </si>
  <si>
    <r>
      <rPr>
        <b/>
        <sz val="10"/>
        <rFont val="Gill Sans MT"/>
        <family val="2"/>
      </rPr>
      <t xml:space="preserve">Salt Lake Acting Company (SLAC), </t>
    </r>
    <r>
      <rPr>
        <sz val="10"/>
        <rFont val="Gill Sans MT"/>
        <family val="2"/>
      </rPr>
      <t xml:space="preserve">a nonprofit community theater that is visited by approximately thousands of people each year plans to install a roof-mounted solar array, complementing the recent facility upgrades which included LED theatrical lighting and an upgrade of the HVAC system. </t>
    </r>
  </si>
  <si>
    <r>
      <rPr>
        <b/>
        <sz val="10"/>
        <rFont val="Gill Sans MT"/>
        <family val="2"/>
      </rPr>
      <t>Shepherd of the Mountains Lutheran Church</t>
    </r>
    <r>
      <rPr>
        <sz val="10"/>
        <rFont val="Gill Sans MT"/>
        <family val="2"/>
      </rPr>
      <t xml:space="preserve"> plans to install a roof-mounted solar project to help lead the congregation in sustainable living practices as well as community members who use their facility for meetings or are involved in their community garden. </t>
    </r>
  </si>
  <si>
    <r>
      <rPr>
        <b/>
        <sz val="10"/>
        <rFont val="Gill Sans MT"/>
        <family val="2"/>
      </rPr>
      <t xml:space="preserve">South Valley Unitarian Universalist Society, </t>
    </r>
    <r>
      <rPr>
        <sz val="10"/>
        <rFont val="Gill Sans MT"/>
        <family val="2"/>
      </rPr>
      <t xml:space="preserve">a diverse religious community with a strong interest in reducing the level of air pollution in the Salt Lake valley and reducing their dependence on fossil fuels plan to install a roof-top solar array.  </t>
    </r>
  </si>
  <si>
    <r>
      <rPr>
        <b/>
        <sz val="9.5"/>
        <rFont val="Gill Sans MT"/>
        <family val="2"/>
      </rPr>
      <t xml:space="preserve">St. James Church, </t>
    </r>
    <r>
      <rPr>
        <sz val="9.5"/>
        <rFont val="Gill Sans MT"/>
        <family val="2"/>
      </rPr>
      <t xml:space="preserve">the only Episcopal church in the southern half of the valley has a diverse congregation who are keenly aware of the need for good environmental stewardship including the use and promotion of clean, renewable energy sources. The planned solar array will help promote their message about renewable energy even further. </t>
    </r>
  </si>
  <si>
    <r>
      <rPr>
        <b/>
        <sz val="9.5"/>
        <rFont val="Gill Sans MT"/>
        <family val="2"/>
      </rPr>
      <t>St. Luke’s Episcopal Church,</t>
    </r>
    <r>
      <rPr>
        <sz val="9.5"/>
        <rFont val="Gill Sans MT"/>
        <family val="2"/>
      </rPr>
      <t xml:space="preserve"> which is used for services and community meetings plans to install a roof-top solar array.  </t>
    </r>
  </si>
  <si>
    <r>
      <rPr>
        <b/>
        <sz val="9.5"/>
        <rFont val="Gill Sans MT"/>
        <family val="2"/>
      </rPr>
      <t xml:space="preserve">St. Matthew’s Lutheran Church, </t>
    </r>
    <r>
      <rPr>
        <sz val="9.5"/>
        <rFont val="Gill Sans MT"/>
        <family val="2"/>
      </rPr>
      <t xml:space="preserve">a faith-based congregation that serves middle- and lower-income areas of Salt Lake Valley and offers its facility as a community resource, plans to install a solar project. </t>
    </r>
  </si>
  <si>
    <r>
      <rPr>
        <b/>
        <sz val="9.5"/>
        <rFont val="Gill Sans MT"/>
        <family val="2"/>
      </rPr>
      <t xml:space="preserve">St. Stephen’s Episcopal Church, </t>
    </r>
    <r>
      <rPr>
        <sz val="9.5"/>
        <rFont val="Gill Sans MT"/>
        <family val="2"/>
      </rPr>
      <t>serves a English and</t>
    </r>
    <r>
      <rPr>
        <b/>
        <sz val="9.5"/>
        <rFont val="Gill Sans MT"/>
        <family val="2"/>
      </rPr>
      <t xml:space="preserve"> </t>
    </r>
    <r>
      <rPr>
        <sz val="9.5"/>
        <rFont val="Gill Sans MT"/>
        <family val="2"/>
      </rPr>
      <t xml:space="preserve">Spanish-speaking congregation and provides space seven days a week for community organizations for their weekly meetings and events plans to install a highly visible roof-top solar array.  </t>
    </r>
  </si>
  <si>
    <r>
      <rPr>
        <b/>
        <sz val="10"/>
        <rFont val="Gill Sans MT"/>
        <family val="2"/>
      </rPr>
      <t xml:space="preserve">St. Thomas More Parish </t>
    </r>
    <r>
      <rPr>
        <sz val="10"/>
        <rFont val="Gill Sans MT"/>
        <family val="2"/>
      </rPr>
      <t xml:space="preserve">not only serves a large congregation but also provides a meeting space for the community on a regular basis, supporting  a wide array of community outreach programs. They plan to install a roof-top solar array. </t>
    </r>
  </si>
  <si>
    <r>
      <rPr>
        <b/>
        <sz val="10"/>
        <rFont val="Gill Sans MT"/>
        <family val="2"/>
      </rPr>
      <t>Temple Har Shalom (THS)</t>
    </r>
    <r>
      <rPr>
        <sz val="10"/>
        <rFont val="Gill Sans MT"/>
        <family val="2"/>
      </rPr>
      <t xml:space="preserve"> plans to install a solar array on a building designed with sustainable features such as window shading, drip irrigation, remote sensors, and low-flow toilets and used by many in the community for service and events such as the Sundance Film Festival, the Utah Symphony, and a number of other film and music festivals.</t>
    </r>
  </si>
  <si>
    <r>
      <rPr>
        <b/>
        <sz val="10"/>
        <rFont val="Gill Sans MT"/>
        <family val="2"/>
      </rPr>
      <t>The Living Planet Aquarium</t>
    </r>
    <r>
      <rPr>
        <sz val="10"/>
        <rFont val="Gill Sans MT"/>
        <family val="2"/>
      </rPr>
      <t xml:space="preserve"> plans to install a solar array atop their new aquarium and utilize the installation to provide hands-on learning activities for families, school groups and  visitors. </t>
    </r>
  </si>
  <si>
    <r>
      <t xml:space="preserve">The </t>
    </r>
    <r>
      <rPr>
        <b/>
        <sz val="10"/>
        <rFont val="Gill Sans MT"/>
        <family val="2"/>
      </rPr>
      <t>U.S. Ski and Snowboard Association</t>
    </r>
    <r>
      <rPr>
        <sz val="10"/>
        <rFont val="Gill Sans MT"/>
        <family val="2"/>
      </rPr>
      <t xml:space="preserve"> plans to install a solar array at the Center of Excellence - a state-of-the-art, world-class training, education and rehabilitation center. USSA plans to use the solar array as a renewable energy educational tool for their members nationwide. The installation will allow them to redirect dollars toward the development of future Olympians. </t>
    </r>
  </si>
  <si>
    <r>
      <rPr>
        <b/>
        <sz val="10"/>
        <rFont val="Gill Sans MT"/>
        <family val="2"/>
      </rPr>
      <t>Utah State University (USU)</t>
    </r>
    <r>
      <rPr>
        <sz val="10"/>
        <rFont val="Gill Sans MT"/>
        <family val="2"/>
      </rPr>
      <t xml:space="preserve"> has implemented many energy efficiency efforts to reduce energy costs and their planned roof-top solar array on the Matthew-Hillyard ATRC is expected to help stabilize tuition rates.</t>
    </r>
  </si>
  <si>
    <r>
      <rPr>
        <b/>
        <sz val="10"/>
        <rFont val="Gill Sans MT"/>
        <family val="2"/>
      </rPr>
      <t>The Utah Field House</t>
    </r>
    <r>
      <rPr>
        <sz val="10"/>
        <rFont val="Gill Sans MT"/>
        <family val="2"/>
      </rPr>
      <t xml:space="preserve">, a museum and Dinosaur Garden showcasing eastern Utah's geologic past and natural history plan to install a solar array exposing their visitors to renewables. </t>
    </r>
  </si>
  <si>
    <r>
      <rPr>
        <b/>
        <sz val="10"/>
        <rFont val="Gill Sans MT"/>
        <family val="2"/>
      </rPr>
      <t>West Valley Junior High School</t>
    </r>
    <r>
      <rPr>
        <sz val="10"/>
        <rFont val="Gill Sans MT"/>
        <family val="2"/>
      </rPr>
      <t xml:space="preserve"> (WVJHS), a public middle school with approximately 850 students, plans to install a roof-top solar system complementing the solar energy curriculum they have in their Science, Technology, Engineering and Math (STEM) programs.  The proposed 10 kW project (two arrays – 7.2 kW and 2.8 kW) will provide students a hands-on opportunity to explain their learning opportunities with support from the Bonneville Environmental Foundation (BEF) Solar 4R Schools program. 
</t>
    </r>
  </si>
  <si>
    <r>
      <rPr>
        <b/>
        <sz val="10"/>
        <rFont val="Gill Sans MT"/>
        <family val="2"/>
      </rPr>
      <t>Lander Care and Share Food Bank</t>
    </r>
    <r>
      <rPr>
        <sz val="10"/>
        <rFont val="Gill Sans MT"/>
        <family val="2"/>
      </rPr>
      <t xml:space="preserve"> plans to install a solar array to help educate clients and the community on the benefits of renewable energy and enabling them to redirect funds towards the purchase of food for those in need. </t>
    </r>
  </si>
  <si>
    <r>
      <rPr>
        <b/>
        <sz val="10"/>
        <rFont val="Gill Sans MT"/>
        <family val="2"/>
      </rPr>
      <t>Soldier’s House,</t>
    </r>
    <r>
      <rPr>
        <sz val="10"/>
        <rFont val="Gill Sans MT"/>
        <family val="2"/>
      </rPr>
      <t xml:space="preserve"> a nonprofit that provides space for those who provide services to returning Iraq and Afghanistan veterans and their families and a space for community meetings and presentations plans to install a solar project composed of two arrays, a 6 kW parking canopy structure and a 3 kW roof-mounted array.</t>
    </r>
  </si>
  <si>
    <r>
      <t xml:space="preserve">2013 Funding Awards - </t>
    </r>
    <r>
      <rPr>
        <i/>
        <sz val="10"/>
        <rFont val="Gill Sans MT"/>
        <family val="2"/>
      </rPr>
      <t>reported in project detail</t>
    </r>
  </si>
  <si>
    <t>2013 Available Funds Accrued - Prior to 2013 Awards</t>
  </si>
  <si>
    <t xml:space="preserve">Total Available Funds Balance - Prior to 2013 Awards </t>
  </si>
  <si>
    <t>Fossil Gulch Wind Park</t>
  </si>
  <si>
    <t>TOTAL OREGON</t>
  </si>
  <si>
    <t>TOTAL UTAH</t>
  </si>
  <si>
    <t>TOTAL WASHINGTON</t>
  </si>
  <si>
    <t>TOTAL WYOMING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</si>
</sst>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409]mmmm\-yy;@"/>
    <numFmt numFmtId="168" formatCode="_(&quot;$&quot;* #,##0.00_);_(&quot;$&quot;* \(#,##0.00\);_(&quot;$&quot;* &quot;-&quot;_);_(@_)"/>
    <numFmt numFmtId="169" formatCode="_(&quot;$&quot;* #,##0_);_(&quot;$&quot;* \(#,##0\);_(&quot;$&quot;* &quot;-&quot;??_);_(@_)"/>
    <numFmt numFmtId="170" formatCode="_(* #,##0.0000_);_(* \(#,##0.0000\);_(* &quot;-&quot;??_);_(@_)"/>
    <numFmt numFmtId="171" formatCode="mmm\ yyyy"/>
    <numFmt numFmtId="172" formatCode="#,##0.000"/>
    <numFmt numFmtId="173" formatCode="[$-409]mmm\-yy;@"/>
    <numFmt numFmtId="174" formatCode="&quot;$&quot;#,##0.000"/>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Narrow"/>
      <family val="2"/>
    </font>
    <font>
      <sz val="11"/>
      <color theme="1"/>
      <name val="Calibri"/>
      <family val="2"/>
      <scheme val="minor"/>
    </font>
    <font>
      <sz val="8"/>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name val="Gill Sans MT"/>
      <family val="2"/>
    </font>
    <font>
      <sz val="11"/>
      <name val="Gill Sans MT"/>
      <family val="2"/>
    </font>
    <font>
      <sz val="10"/>
      <name val="Gill Sans MT"/>
      <family val="2"/>
    </font>
    <font>
      <b/>
      <sz val="10"/>
      <name val="Gill Sans MT"/>
      <family val="2"/>
    </font>
    <font>
      <sz val="8"/>
      <name val="Gill Sans MT"/>
      <family val="2"/>
    </font>
    <font>
      <b/>
      <sz val="12"/>
      <name val="Gill Sans MT"/>
      <family val="2"/>
    </font>
    <font>
      <sz val="12"/>
      <name val="Gill Sans MT"/>
      <family val="2"/>
    </font>
    <font>
      <sz val="9"/>
      <name val="Gill Sans MT"/>
      <family val="2"/>
    </font>
    <font>
      <b/>
      <sz val="8"/>
      <name val="Gill Sans MT"/>
      <family val="2"/>
    </font>
    <font>
      <b/>
      <u/>
      <sz val="10"/>
      <name val="Gill Sans MT"/>
      <family val="2"/>
    </font>
    <font>
      <i/>
      <sz val="10"/>
      <name val="Gill Sans MT"/>
      <family val="2"/>
    </font>
    <font>
      <b/>
      <i/>
      <sz val="10"/>
      <name val="Gill Sans MT"/>
      <family val="2"/>
    </font>
    <font>
      <i/>
      <sz val="8"/>
      <name val="Gill Sans MT"/>
      <family val="2"/>
    </font>
    <font>
      <u val="singleAccounting"/>
      <sz val="10"/>
      <name val="Gill Sans MT"/>
      <family val="2"/>
    </font>
    <font>
      <sz val="10"/>
      <color indexed="10"/>
      <name val="Gill Sans MT"/>
      <family val="2"/>
    </font>
    <font>
      <i/>
      <sz val="10"/>
      <color rgb="FFFF0000"/>
      <name val="Gill Sans MT"/>
      <family val="2"/>
    </font>
    <font>
      <b/>
      <sz val="10"/>
      <color rgb="FF252525"/>
      <name val="Gill Sans MT"/>
      <family val="2"/>
    </font>
    <font>
      <sz val="12"/>
      <name val="Times New Roman"/>
      <family val="1"/>
    </font>
    <font>
      <sz val="16"/>
      <name val="Gill Sans MT"/>
      <family val="2"/>
    </font>
    <font>
      <strike/>
      <sz val="10"/>
      <name val="Gill Sans MT"/>
      <family val="2"/>
    </font>
    <font>
      <sz val="9.5"/>
      <name val="Gill Sans MT"/>
      <family val="2"/>
    </font>
    <font>
      <b/>
      <sz val="9.5"/>
      <name val="Gill Sans MT"/>
      <family val="2"/>
    </font>
    <font>
      <strike/>
      <u val="singleAccounting"/>
      <sz val="10"/>
      <name val="Gill Sans MT"/>
      <family val="2"/>
    </font>
  </fonts>
  <fills count="3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7" tint="0.79998168889431442"/>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292">
    <xf numFmtId="0" fontId="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2" fillId="0" borderId="0"/>
    <xf numFmtId="0" fontId="13" fillId="0" borderId="0"/>
    <xf numFmtId="0" fontId="13" fillId="0" borderId="0"/>
    <xf numFmtId="0" fontId="10" fillId="0" borderId="0"/>
    <xf numFmtId="0" fontId="10" fillId="0" borderId="0"/>
    <xf numFmtId="9" fontId="10" fillId="0" borderId="0" applyFont="0" applyFill="0" applyBorder="0" applyAlignment="0" applyProtection="0"/>
    <xf numFmtId="0" fontId="9" fillId="0" borderId="0"/>
    <xf numFmtId="43" fontId="9" fillId="0" borderId="0" applyFont="0" applyFill="0" applyBorder="0" applyAlignment="0" applyProtection="0"/>
    <xf numFmtId="0" fontId="15" fillId="0" borderId="0" applyNumberFormat="0" applyFill="0" applyBorder="0" applyAlignment="0" applyProtection="0"/>
    <xf numFmtId="0" fontId="16" fillId="0" borderId="17" applyNumberFormat="0" applyFill="0" applyAlignment="0" applyProtection="0"/>
    <xf numFmtId="0" fontId="17" fillId="0" borderId="18" applyNumberFormat="0" applyFill="0" applyAlignment="0" applyProtection="0"/>
    <xf numFmtId="0" fontId="18" fillId="0" borderId="19"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20" applyNumberFormat="0" applyAlignment="0" applyProtection="0"/>
    <xf numFmtId="0" fontId="23" fillId="8" borderId="21" applyNumberFormat="0" applyAlignment="0" applyProtection="0"/>
    <xf numFmtId="0" fontId="24" fillId="8" borderId="20" applyNumberFormat="0" applyAlignment="0" applyProtection="0"/>
    <xf numFmtId="0" fontId="25" fillId="0" borderId="22" applyNumberFormat="0" applyFill="0" applyAlignment="0" applyProtection="0"/>
    <xf numFmtId="0" fontId="26" fillId="9" borderId="23"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5" applyNumberFormat="0" applyFill="0" applyAlignment="0" applyProtection="0"/>
    <xf numFmtId="0" fontId="30"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0" fillId="34" borderId="0" applyNumberFormat="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8"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9" fontId="12" fillId="0" borderId="0" applyFont="0" applyFill="0" applyBorder="0" applyAlignment="0" applyProtection="0"/>
    <xf numFmtId="0" fontId="8" fillId="0" borderId="0"/>
    <xf numFmtId="43" fontId="31" fillId="0" borderId="0" applyFont="0" applyFill="0" applyBorder="0" applyAlignment="0" applyProtection="0"/>
    <xf numFmtId="9" fontId="31" fillId="0" borderId="0" applyFont="0" applyFill="0" applyBorder="0" applyAlignment="0" applyProtection="0"/>
    <xf numFmtId="0" fontId="8" fillId="10" borderId="24" applyNumberFormat="0" applyFont="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8" fillId="0" borderId="0"/>
    <xf numFmtId="0" fontId="8"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0" borderId="24" applyNumberFormat="0" applyFont="0" applyAlignment="0" applyProtection="0"/>
    <xf numFmtId="0" fontId="7" fillId="0" borderId="0"/>
    <xf numFmtId="0" fontId="7" fillId="0" borderId="0"/>
    <xf numFmtId="0" fontId="6" fillId="0" borderId="0"/>
    <xf numFmtId="0" fontId="1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10" borderId="24" applyNumberFormat="0" applyFont="0" applyAlignment="0" applyProtection="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4" applyNumberFormat="0" applyFont="0" applyAlignment="0" applyProtection="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4"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10" borderId="24" applyNumberFormat="0" applyFont="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4" applyNumberFormat="0" applyFont="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10" borderId="24" applyNumberFormat="0" applyFont="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4"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4"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346">
    <xf numFmtId="0" fontId="0" fillId="0" borderId="0" xfId="0"/>
    <xf numFmtId="173" fontId="34" fillId="0" borderId="0" xfId="0" applyNumberFormat="1" applyFont="1" applyFill="1" applyBorder="1" applyAlignment="1">
      <alignment horizontal="center"/>
    </xf>
    <xf numFmtId="7" fontId="34" fillId="0" borderId="0" xfId="14" applyNumberFormat="1" applyFont="1" applyFill="1" applyBorder="1" applyAlignment="1">
      <alignment horizontal="center"/>
    </xf>
    <xf numFmtId="164" fontId="34" fillId="0" borderId="0" xfId="0" applyNumberFormat="1" applyFont="1" applyFill="1" applyBorder="1"/>
    <xf numFmtId="0" fontId="33" fillId="0" borderId="0" xfId="0" applyFont="1" applyFill="1" applyBorder="1"/>
    <xf numFmtId="0" fontId="34" fillId="0" borderId="0" xfId="0" applyFont="1" applyFill="1" applyBorder="1" applyAlignment="1">
      <alignment horizontal="left"/>
    </xf>
    <xf numFmtId="0" fontId="34" fillId="0" borderId="0" xfId="0" applyFont="1" applyFill="1" applyBorder="1"/>
    <xf numFmtId="2" fontId="34" fillId="0" borderId="0" xfId="0" applyNumberFormat="1" applyFont="1" applyFill="1" applyBorder="1" applyAlignment="1">
      <alignment horizontal="center"/>
    </xf>
    <xf numFmtId="0" fontId="34" fillId="0" borderId="0" xfId="0" applyFont="1" applyFill="1" applyBorder="1" applyAlignment="1">
      <alignment horizontal="center"/>
    </xf>
    <xf numFmtId="0" fontId="34" fillId="0" borderId="0" xfId="0" applyFont="1" applyFill="1" applyBorder="1" applyAlignment="1"/>
    <xf numFmtId="0" fontId="35" fillId="0" borderId="0" xfId="0" applyFont="1" applyFill="1" applyBorder="1" applyAlignment="1">
      <alignment horizontal="left"/>
    </xf>
    <xf numFmtId="0" fontId="36" fillId="0" borderId="0" xfId="0" applyFont="1" applyFill="1" applyBorder="1" applyAlignment="1">
      <alignment horizontal="centerContinuous"/>
    </xf>
    <xf numFmtId="0" fontId="37" fillId="0" borderId="0" xfId="0" applyFont="1" applyFill="1" applyBorder="1" applyAlignment="1">
      <alignment horizontal="centerContinuous"/>
    </xf>
    <xf numFmtId="0" fontId="38" fillId="0" borderId="0" xfId="0" applyFont="1" applyFill="1" applyBorder="1" applyAlignment="1">
      <alignment horizontal="centerContinuous"/>
    </xf>
    <xf numFmtId="0" fontId="36" fillId="0" borderId="0" xfId="0" applyFont="1" applyFill="1" applyBorder="1"/>
    <xf numFmtId="0" fontId="35" fillId="0" borderId="0" xfId="0" applyFont="1" applyFill="1" applyBorder="1" applyAlignment="1">
      <alignment horizontal="left" wrapText="1"/>
    </xf>
    <xf numFmtId="0" fontId="35" fillId="0" borderId="1" xfId="0" applyFont="1" applyFill="1" applyBorder="1" applyAlignment="1">
      <alignment horizontal="left"/>
    </xf>
    <xf numFmtId="0" fontId="34" fillId="0" borderId="1" xfId="0" applyFont="1" applyFill="1" applyBorder="1" applyAlignment="1">
      <alignment horizontal="centerContinuous"/>
    </xf>
    <xf numFmtId="44" fontId="34" fillId="0" borderId="1" xfId="14" applyFont="1" applyFill="1" applyBorder="1" applyAlignment="1">
      <alignment horizontal="centerContinuous"/>
    </xf>
    <xf numFmtId="0" fontId="34" fillId="0" borderId="1" xfId="0" applyFont="1" applyFill="1" applyBorder="1"/>
    <xf numFmtId="0" fontId="34" fillId="0" borderId="1" xfId="0" applyFont="1" applyFill="1" applyBorder="1" applyAlignment="1">
      <alignment horizontal="left"/>
    </xf>
    <xf numFmtId="0" fontId="35" fillId="0" borderId="1" xfId="0" applyFont="1" applyFill="1" applyBorder="1" applyAlignment="1">
      <alignment horizontal="center"/>
    </xf>
    <xf numFmtId="0" fontId="39" fillId="0" borderId="0" xfId="0" applyFont="1" applyFill="1" applyBorder="1"/>
    <xf numFmtId="5" fontId="34" fillId="0" borderId="1" xfId="14" applyNumberFormat="1" applyFont="1" applyFill="1" applyBorder="1" applyAlignment="1"/>
    <xf numFmtId="5" fontId="39" fillId="0" borderId="0" xfId="0" applyNumberFormat="1" applyFont="1" applyFill="1" applyBorder="1"/>
    <xf numFmtId="0" fontId="35" fillId="0" borderId="1" xfId="0" applyFont="1" applyFill="1" applyBorder="1" applyAlignment="1">
      <alignment horizontal="left" wrapText="1"/>
    </xf>
    <xf numFmtId="169" fontId="40" fillId="0" borderId="6" xfId="14" applyNumberFormat="1" applyFont="1" applyFill="1" applyBorder="1"/>
    <xf numFmtId="44" fontId="40" fillId="0" borderId="6" xfId="14" applyNumberFormat="1" applyFont="1" applyFill="1" applyBorder="1"/>
    <xf numFmtId="5" fontId="34" fillId="0" borderId="1" xfId="0" applyNumberFormat="1" applyFont="1" applyFill="1" applyBorder="1" applyAlignment="1"/>
    <xf numFmtId="166" fontId="39" fillId="0" borderId="0" xfId="0" applyNumberFormat="1" applyFont="1" applyFill="1" applyBorder="1"/>
    <xf numFmtId="166" fontId="39" fillId="0" borderId="0" xfId="0" applyNumberFormat="1" applyFont="1" applyFill="1" applyBorder="1" applyAlignment="1"/>
    <xf numFmtId="164" fontId="39" fillId="0" borderId="0" xfId="0" applyNumberFormat="1" applyFont="1" applyFill="1" applyBorder="1"/>
    <xf numFmtId="166" fontId="34" fillId="0" borderId="0" xfId="14" applyNumberFormat="1" applyFont="1" applyFill="1" applyBorder="1" applyAlignment="1"/>
    <xf numFmtId="166" fontId="34" fillId="0" borderId="0" xfId="0" applyNumberFormat="1" applyFont="1" applyFill="1" applyBorder="1" applyAlignment="1"/>
    <xf numFmtId="0" fontId="34" fillId="0" borderId="3" xfId="0" applyFont="1" applyFill="1" applyBorder="1" applyAlignment="1">
      <alignment horizontal="centerContinuous"/>
    </xf>
    <xf numFmtId="0" fontId="34" fillId="0" borderId="5" xfId="0" applyFont="1" applyFill="1" applyBorder="1" applyAlignment="1">
      <alignment horizontal="left"/>
    </xf>
    <xf numFmtId="0" fontId="35" fillId="0" borderId="6" xfId="0" applyFont="1" applyFill="1" applyBorder="1" applyAlignment="1">
      <alignment horizontal="center"/>
    </xf>
    <xf numFmtId="165" fontId="34" fillId="0" borderId="6" xfId="1" applyNumberFormat="1" applyFont="1" applyFill="1" applyBorder="1"/>
    <xf numFmtId="43" fontId="39" fillId="0" borderId="0" xfId="1" applyFont="1" applyFill="1" applyBorder="1"/>
    <xf numFmtId="0" fontId="34" fillId="0" borderId="5" xfId="0" applyFont="1" applyFill="1" applyBorder="1" applyAlignment="1">
      <alignment horizontal="left" wrapText="1"/>
    </xf>
    <xf numFmtId="0" fontId="35" fillId="0" borderId="5" xfId="0" applyFont="1" applyFill="1" applyBorder="1" applyAlignment="1">
      <alignment horizontal="left" wrapText="1"/>
    </xf>
    <xf numFmtId="0" fontId="34" fillId="0" borderId="4" xfId="0" applyFont="1" applyFill="1" applyBorder="1" applyAlignment="1">
      <alignment horizontal="left"/>
    </xf>
    <xf numFmtId="165" fontId="34" fillId="0" borderId="7" xfId="0" applyNumberFormat="1" applyFont="1" applyFill="1" applyBorder="1" applyAlignment="1">
      <alignment horizontal="right"/>
    </xf>
    <xf numFmtId="165" fontId="34" fillId="0" borderId="0" xfId="0" applyNumberFormat="1" applyFont="1" applyFill="1" applyBorder="1" applyAlignment="1">
      <alignment horizontal="right"/>
    </xf>
    <xf numFmtId="37" fontId="34" fillId="0" borderId="0" xfId="0" applyNumberFormat="1" applyFont="1" applyFill="1" applyBorder="1" applyAlignment="1">
      <alignment horizontal="right"/>
    </xf>
    <xf numFmtId="165" fontId="34" fillId="0" borderId="0" xfId="0" applyNumberFormat="1" applyFont="1" applyFill="1" applyBorder="1"/>
    <xf numFmtId="165" fontId="34" fillId="0" borderId="1" xfId="1" applyNumberFormat="1" applyFont="1" applyFill="1" applyBorder="1"/>
    <xf numFmtId="3" fontId="34" fillId="0" borderId="0" xfId="0" applyNumberFormat="1" applyFont="1" applyFill="1" applyBorder="1"/>
    <xf numFmtId="172" fontId="34" fillId="0" borderId="0" xfId="0" applyNumberFormat="1" applyFont="1" applyFill="1" applyBorder="1"/>
    <xf numFmtId="43" fontId="34" fillId="0" borderId="0" xfId="1" applyFont="1" applyFill="1" applyBorder="1"/>
    <xf numFmtId="1" fontId="34" fillId="0" borderId="0" xfId="0" applyNumberFormat="1" applyFont="1" applyFill="1" applyBorder="1"/>
    <xf numFmtId="1" fontId="33" fillId="0" borderId="0" xfId="0" applyNumberFormat="1" applyFont="1" applyFill="1" applyBorder="1"/>
    <xf numFmtId="37" fontId="33" fillId="0" borderId="0" xfId="0" applyNumberFormat="1" applyFont="1" applyFill="1" applyBorder="1"/>
    <xf numFmtId="0" fontId="41" fillId="0" borderId="0" xfId="0" applyFont="1" applyFill="1" applyBorder="1" applyAlignment="1"/>
    <xf numFmtId="43" fontId="42" fillId="0" borderId="0" xfId="1" applyFont="1" applyFill="1" applyBorder="1" applyAlignment="1">
      <alignment horizontal="left" indent="2"/>
    </xf>
    <xf numFmtId="17" fontId="34" fillId="0" borderId="0" xfId="0" applyNumberFormat="1" applyFont="1" applyFill="1" applyBorder="1" applyAlignment="1"/>
    <xf numFmtId="165" fontId="34" fillId="0" borderId="0" xfId="1" applyNumberFormat="1" applyFont="1" applyFill="1" applyBorder="1"/>
    <xf numFmtId="170" fontId="34" fillId="0" borderId="0" xfId="0" applyNumberFormat="1" applyFont="1" applyFill="1" applyBorder="1"/>
    <xf numFmtId="2" fontId="34" fillId="0" borderId="0" xfId="0" applyNumberFormat="1" applyFont="1" applyFill="1" applyBorder="1"/>
    <xf numFmtId="165" fontId="34" fillId="0" borderId="0" xfId="1" applyNumberFormat="1" applyFont="1" applyFill="1" applyBorder="1" applyAlignment="1">
      <alignment horizontal="right"/>
    </xf>
    <xf numFmtId="7" fontId="34" fillId="0" borderId="0" xfId="1" applyNumberFormat="1" applyFont="1" applyFill="1" applyBorder="1" applyAlignment="1">
      <alignment horizontal="center" wrapText="1"/>
    </xf>
    <xf numFmtId="7" fontId="34" fillId="0" borderId="0" xfId="0" applyNumberFormat="1" applyFont="1" applyFill="1" applyBorder="1"/>
    <xf numFmtId="0" fontId="34" fillId="0" borderId="0" xfId="0" applyFont="1" applyFill="1" applyBorder="1" applyAlignment="1">
      <alignment wrapText="1"/>
    </xf>
    <xf numFmtId="43" fontId="36" fillId="0" borderId="0" xfId="1" applyFont="1" applyFill="1" applyBorder="1"/>
    <xf numFmtId="5" fontId="34" fillId="0" borderId="6" xfId="14" applyNumberFormat="1" applyFont="1" applyFill="1" applyBorder="1" applyAlignment="1"/>
    <xf numFmtId="5" fontId="34" fillId="0" borderId="6" xfId="0" applyNumberFormat="1" applyFont="1" applyFill="1" applyBorder="1" applyAlignment="1"/>
    <xf numFmtId="0" fontId="36" fillId="0" borderId="6" xfId="0" applyFont="1" applyFill="1" applyBorder="1"/>
    <xf numFmtId="0" fontId="35" fillId="0" borderId="5" xfId="0" applyFont="1" applyFill="1" applyBorder="1" applyAlignment="1">
      <alignment horizontal="left"/>
    </xf>
    <xf numFmtId="5" fontId="34" fillId="0" borderId="0" xfId="0" applyNumberFormat="1" applyFont="1" applyFill="1" applyBorder="1"/>
    <xf numFmtId="0" fontId="34" fillId="0" borderId="3" xfId="0" applyFont="1" applyFill="1" applyBorder="1"/>
    <xf numFmtId="0" fontId="34" fillId="0" borderId="2" xfId="0" applyFont="1" applyFill="1" applyBorder="1" applyAlignment="1">
      <alignment horizontal="centerContinuous"/>
    </xf>
    <xf numFmtId="0" fontId="34" fillId="0" borderId="16" xfId="0" applyFont="1" applyFill="1" applyBorder="1"/>
    <xf numFmtId="0" fontId="36" fillId="0" borderId="8" xfId="0" applyFont="1" applyFill="1" applyBorder="1"/>
    <xf numFmtId="5" fontId="34" fillId="0" borderId="8" xfId="14" applyNumberFormat="1" applyFont="1" applyFill="1" applyBorder="1" applyAlignment="1"/>
    <xf numFmtId="169" fontId="40" fillId="0" borderId="8" xfId="14" applyNumberFormat="1" applyFont="1" applyFill="1" applyBorder="1"/>
    <xf numFmtId="5" fontId="34" fillId="0" borderId="8" xfId="0" applyNumberFormat="1" applyFont="1" applyFill="1" applyBorder="1" applyAlignment="1"/>
    <xf numFmtId="0" fontId="34" fillId="0" borderId="6" xfId="0" applyFont="1" applyFill="1" applyBorder="1" applyAlignment="1">
      <alignment horizontal="centerContinuous"/>
    </xf>
    <xf numFmtId="0" fontId="34" fillId="0" borderId="6" xfId="0" applyFont="1" applyFill="1" applyBorder="1"/>
    <xf numFmtId="0" fontId="34" fillId="0" borderId="0" xfId="0" applyFont="1" applyFill="1" applyBorder="1" applyAlignment="1">
      <alignment horizontal="centerContinuous"/>
    </xf>
    <xf numFmtId="0" fontId="34" fillId="0" borderId="0" xfId="0" applyFont="1" applyFill="1" applyAlignment="1"/>
    <xf numFmtId="166" fontId="34" fillId="0" borderId="0" xfId="0" applyNumberFormat="1" applyFont="1" applyFill="1" applyBorder="1"/>
    <xf numFmtId="5" fontId="34" fillId="0" borderId="1" xfId="0" applyNumberFormat="1" applyFont="1" applyFill="1" applyBorder="1"/>
    <xf numFmtId="166" fontId="34" fillId="0" borderId="0" xfId="0" quotePrefix="1" applyNumberFormat="1" applyFont="1" applyFill="1" applyBorder="1"/>
    <xf numFmtId="165" fontId="34" fillId="0" borderId="1" xfId="1" applyNumberFormat="1" applyFont="1" applyFill="1" applyBorder="1" applyAlignment="1">
      <alignment horizontal="right"/>
    </xf>
    <xf numFmtId="10" fontId="34" fillId="0" borderId="0" xfId="32" applyNumberFormat="1" applyFont="1" applyFill="1" applyBorder="1"/>
    <xf numFmtId="0" fontId="34" fillId="0" borderId="1" xfId="0" applyFont="1" applyFill="1" applyBorder="1" applyAlignment="1">
      <alignment horizontal="left" wrapText="1"/>
    </xf>
    <xf numFmtId="9" fontId="34" fillId="0" borderId="0" xfId="32" applyFont="1" applyFill="1" applyBorder="1"/>
    <xf numFmtId="37" fontId="34" fillId="0" borderId="0" xfId="0" applyNumberFormat="1" applyFont="1" applyFill="1" applyBorder="1"/>
    <xf numFmtId="0" fontId="34" fillId="0" borderId="0" xfId="0" applyFont="1" applyFill="1" applyBorder="1" applyAlignment="1">
      <alignment horizontal="center" wrapText="1"/>
    </xf>
    <xf numFmtId="165" fontId="34" fillId="0" borderId="0" xfId="1" applyNumberFormat="1" applyFont="1" applyFill="1" applyBorder="1" applyAlignment="1">
      <alignment horizontal="center"/>
    </xf>
    <xf numFmtId="5" fontId="34" fillId="0" borderId="0" xfId="1" applyNumberFormat="1" applyFont="1" applyFill="1" applyBorder="1" applyAlignment="1">
      <alignment horizontal="center" wrapText="1"/>
    </xf>
    <xf numFmtId="167" fontId="34" fillId="0" borderId="0" xfId="0" applyNumberFormat="1" applyFont="1" applyFill="1" applyBorder="1" applyAlignment="1">
      <alignment horizontal="center"/>
    </xf>
    <xf numFmtId="0" fontId="42" fillId="0" borderId="0" xfId="0" applyFont="1" applyFill="1" applyBorder="1" applyAlignment="1">
      <alignment horizontal="left" indent="2"/>
    </xf>
    <xf numFmtId="165" fontId="39" fillId="0" borderId="0" xfId="0" applyNumberFormat="1" applyFont="1" applyFill="1"/>
    <xf numFmtId="0" fontId="35" fillId="0" borderId="0" xfId="0" applyFont="1" applyFill="1" applyBorder="1" applyAlignment="1">
      <alignment horizontal="centerContinuous" vertical="center"/>
    </xf>
    <xf numFmtId="0" fontId="34" fillId="0" borderId="0" xfId="0" applyFont="1" applyFill="1" applyBorder="1" applyAlignment="1">
      <alignment vertical="center"/>
    </xf>
    <xf numFmtId="0" fontId="35" fillId="0" borderId="3" xfId="0" applyFont="1" applyFill="1" applyBorder="1" applyAlignment="1">
      <alignment horizontal="center" vertical="center"/>
    </xf>
    <xf numFmtId="44" fontId="34" fillId="0" borderId="0" xfId="0" applyNumberFormat="1" applyFont="1" applyFill="1" applyBorder="1" applyAlignment="1">
      <alignment horizontal="center" vertical="center"/>
    </xf>
    <xf numFmtId="0" fontId="34" fillId="0" borderId="0" xfId="0" applyFont="1" applyFill="1" applyBorder="1" applyAlignment="1">
      <alignment horizontal="center" vertical="center"/>
    </xf>
    <xf numFmtId="0" fontId="34" fillId="0" borderId="6" xfId="0" applyFont="1" applyFill="1" applyBorder="1" applyAlignment="1">
      <alignment horizontal="left" vertical="center" wrapText="1"/>
    </xf>
    <xf numFmtId="5" fontId="34" fillId="0" borderId="0" xfId="14" applyNumberFormat="1" applyFont="1" applyFill="1" applyBorder="1" applyAlignment="1">
      <alignment horizontal="center" vertical="center"/>
    </xf>
    <xf numFmtId="44" fontId="34" fillId="0" borderId="0" xfId="14" applyFont="1" applyFill="1" applyBorder="1" applyAlignment="1">
      <alignment vertical="center"/>
    </xf>
    <xf numFmtId="7" fontId="34" fillId="0" borderId="0" xfId="0" applyNumberFormat="1" applyFont="1" applyFill="1" applyBorder="1" applyAlignment="1">
      <alignment horizontal="center" vertical="center"/>
    </xf>
    <xf numFmtId="0" fontId="35" fillId="0" borderId="6" xfId="0" applyFont="1" applyFill="1" applyBorder="1" applyAlignment="1">
      <alignment horizontal="left" vertical="center" wrapText="1"/>
    </xf>
    <xf numFmtId="0" fontId="34" fillId="0" borderId="6" xfId="0" applyFont="1" applyFill="1" applyBorder="1" applyAlignment="1">
      <alignment horizontal="left" vertical="center"/>
    </xf>
    <xf numFmtId="5" fontId="34" fillId="0" borderId="0" xfId="0" applyNumberFormat="1" applyFont="1" applyFill="1" applyBorder="1" applyAlignment="1">
      <alignment vertical="center"/>
    </xf>
    <xf numFmtId="44" fontId="34" fillId="0" borderId="0" xfId="0" applyNumberFormat="1" applyFont="1" applyFill="1" applyBorder="1" applyAlignment="1">
      <alignment vertical="center"/>
    </xf>
    <xf numFmtId="5" fontId="34" fillId="0" borderId="6" xfId="14" applyNumberFormat="1" applyFont="1" applyFill="1" applyBorder="1" applyAlignment="1">
      <alignment horizontal="right" vertical="center"/>
    </xf>
    <xf numFmtId="0" fontId="34" fillId="0" borderId="6" xfId="0" applyFont="1" applyFill="1" applyBorder="1" applyAlignment="1">
      <alignment vertical="center"/>
    </xf>
    <xf numFmtId="5" fontId="34" fillId="0" borderId="0" xfId="14" applyNumberFormat="1" applyFont="1" applyFill="1" applyBorder="1" applyAlignment="1">
      <alignment horizontal="right" vertical="center"/>
    </xf>
    <xf numFmtId="5" fontId="42" fillId="0" borderId="0" xfId="14" applyNumberFormat="1" applyFont="1" applyFill="1" applyBorder="1" applyAlignment="1">
      <alignment horizontal="left" vertical="center"/>
    </xf>
    <xf numFmtId="0" fontId="34" fillId="0" borderId="0" xfId="0" applyFont="1" applyFill="1" applyBorder="1" applyAlignment="1">
      <alignment horizontal="left" vertical="center"/>
    </xf>
    <xf numFmtId="17" fontId="34" fillId="0" borderId="6" xfId="0" applyNumberFormat="1" applyFont="1" applyFill="1" applyBorder="1" applyAlignment="1">
      <alignment horizontal="left" vertical="center" wrapText="1"/>
    </xf>
    <xf numFmtId="5" fontId="34" fillId="0" borderId="0" xfId="0" applyNumberFormat="1" applyFont="1" applyFill="1" applyBorder="1" applyAlignment="1">
      <alignment horizontal="center" vertical="center"/>
    </xf>
    <xf numFmtId="0" fontId="35" fillId="0" borderId="0" xfId="0" applyFont="1" applyFill="1" applyBorder="1" applyAlignment="1">
      <alignment horizontal="left" vertical="center" wrapText="1"/>
    </xf>
    <xf numFmtId="5" fontId="35" fillId="0" borderId="0" xfId="14" applyNumberFormat="1" applyFont="1" applyFill="1" applyBorder="1" applyAlignment="1">
      <alignment horizontal="right" vertical="center"/>
    </xf>
    <xf numFmtId="166" fontId="34" fillId="0" borderId="6" xfId="0" applyNumberFormat="1" applyFont="1" applyFill="1" applyBorder="1" applyAlignment="1">
      <alignment horizontal="right" vertical="center"/>
    </xf>
    <xf numFmtId="166" fontId="34" fillId="0" borderId="0" xfId="14" applyNumberFormat="1" applyFont="1" applyFill="1" applyBorder="1" applyAlignment="1">
      <alignment horizontal="center" vertical="center"/>
    </xf>
    <xf numFmtId="166" fontId="34" fillId="0" borderId="0" xfId="0" applyNumberFormat="1" applyFont="1" applyFill="1" applyBorder="1" applyAlignment="1">
      <alignment horizontal="left" vertical="center" wrapText="1"/>
    </xf>
    <xf numFmtId="166" fontId="42" fillId="0" borderId="0" xfId="14" applyNumberFormat="1" applyFont="1" applyFill="1" applyBorder="1" applyAlignment="1">
      <alignment horizontal="left" vertical="center"/>
    </xf>
    <xf numFmtId="166" fontId="34" fillId="0" borderId="0" xfId="14" applyNumberFormat="1" applyFont="1" applyFill="1" applyBorder="1" applyAlignment="1">
      <alignment vertical="center"/>
    </xf>
    <xf numFmtId="17" fontId="35" fillId="0" borderId="0" xfId="0" applyNumberFormat="1" applyFont="1" applyFill="1" applyBorder="1" applyAlignment="1">
      <alignment horizontal="left" vertical="center" wrapText="1"/>
    </xf>
    <xf numFmtId="17" fontId="35" fillId="0" borderId="0" xfId="0" applyNumberFormat="1" applyFont="1" applyFill="1" applyBorder="1" applyAlignment="1">
      <alignment horizontal="left" vertical="center"/>
    </xf>
    <xf numFmtId="5" fontId="35" fillId="0" borderId="0" xfId="14" applyNumberFormat="1" applyFont="1" applyFill="1" applyBorder="1" applyAlignment="1">
      <alignment horizontal="center" vertical="center"/>
    </xf>
    <xf numFmtId="17" fontId="34" fillId="0" borderId="0" xfId="0" applyNumberFormat="1" applyFont="1" applyFill="1" applyBorder="1" applyAlignment="1">
      <alignment horizontal="left" vertical="center" wrapText="1"/>
    </xf>
    <xf numFmtId="17" fontId="34" fillId="0" borderId="0" xfId="0" applyNumberFormat="1" applyFont="1" applyFill="1" applyBorder="1" applyAlignment="1">
      <alignment horizontal="center" vertical="center"/>
    </xf>
    <xf numFmtId="0" fontId="34" fillId="0" borderId="0" xfId="0" applyFont="1" applyFill="1" applyBorder="1" applyAlignment="1">
      <alignment horizontal="right" vertical="center"/>
    </xf>
    <xf numFmtId="166" fontId="34" fillId="0" borderId="0" xfId="0" applyNumberFormat="1" applyFont="1" applyFill="1" applyBorder="1" applyAlignment="1">
      <alignment vertical="center"/>
    </xf>
    <xf numFmtId="17" fontId="35" fillId="0" borderId="6" xfId="0" applyNumberFormat="1" applyFont="1" applyFill="1" applyBorder="1" applyAlignment="1">
      <alignment horizontal="center" vertical="center"/>
    </xf>
    <xf numFmtId="0" fontId="35" fillId="0" borderId="6"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6" xfId="0" applyFont="1" applyFill="1" applyBorder="1" applyAlignment="1">
      <alignment vertical="center" wrapText="1"/>
    </xf>
    <xf numFmtId="166" fontId="34" fillId="0" borderId="6" xfId="0" applyNumberFormat="1" applyFont="1" applyFill="1" applyBorder="1" applyAlignment="1">
      <alignment horizontal="center" vertical="center"/>
    </xf>
    <xf numFmtId="166" fontId="34" fillId="0" borderId="6" xfId="14" applyNumberFormat="1" applyFont="1" applyFill="1" applyBorder="1" applyAlignment="1">
      <alignment horizontal="center" vertical="center"/>
    </xf>
    <xf numFmtId="166" fontId="34" fillId="0" borderId="6" xfId="0" applyNumberFormat="1" applyFont="1" applyFill="1" applyBorder="1" applyAlignment="1">
      <alignment vertical="center"/>
    </xf>
    <xf numFmtId="0" fontId="34" fillId="0" borderId="6" xfId="0" applyFont="1" applyFill="1" applyBorder="1" applyAlignment="1">
      <alignment horizontal="center" vertical="center" wrapText="1"/>
    </xf>
    <xf numFmtId="0" fontId="42" fillId="0" borderId="0" xfId="0" applyFont="1" applyFill="1" applyBorder="1" applyAlignment="1">
      <alignment vertical="center"/>
    </xf>
    <xf numFmtId="6" fontId="34" fillId="0" borderId="0" xfId="0" applyNumberFormat="1" applyFont="1" applyFill="1" applyBorder="1" applyAlignment="1">
      <alignment vertical="center"/>
    </xf>
    <xf numFmtId="166" fontId="34" fillId="0" borderId="6" xfId="0" applyNumberFormat="1" applyFont="1" applyFill="1" applyBorder="1" applyAlignment="1">
      <alignment horizontal="center" vertical="center" wrapText="1"/>
    </xf>
    <xf numFmtId="0" fontId="34" fillId="0" borderId="0" xfId="0" applyFont="1" applyFill="1" applyBorder="1" applyAlignment="1">
      <alignment vertical="center" wrapText="1"/>
    </xf>
    <xf numFmtId="166" fontId="34" fillId="0" borderId="0" xfId="0" applyNumberFormat="1" applyFont="1" applyFill="1" applyBorder="1" applyAlignment="1">
      <alignment vertical="center" wrapText="1"/>
    </xf>
    <xf numFmtId="5" fontId="34" fillId="0" borderId="6" xfId="0" applyNumberFormat="1" applyFont="1" applyFill="1" applyBorder="1" applyAlignment="1">
      <alignment horizontal="left" vertical="center" wrapText="1"/>
    </xf>
    <xf numFmtId="17" fontId="34" fillId="0" borderId="6" xfId="0" applyNumberFormat="1" applyFont="1" applyFill="1" applyBorder="1" applyAlignment="1">
      <alignment horizontal="left" vertical="center"/>
    </xf>
    <xf numFmtId="17" fontId="34" fillId="0" borderId="6" xfId="0" applyNumberFormat="1" applyFont="1" applyFill="1" applyBorder="1" applyAlignment="1">
      <alignment horizontal="center" vertical="center"/>
    </xf>
    <xf numFmtId="37" fontId="34" fillId="0" borderId="6" xfId="0" applyNumberFormat="1" applyFont="1" applyFill="1" applyBorder="1" applyAlignment="1">
      <alignment horizontal="left" vertical="center"/>
    </xf>
    <xf numFmtId="168" fontId="34" fillId="0" borderId="6" xfId="0" applyNumberFormat="1" applyFont="1" applyFill="1" applyBorder="1" applyAlignment="1">
      <alignment horizontal="left" vertical="center"/>
    </xf>
    <xf numFmtId="166" fontId="35" fillId="0" borderId="0" xfId="0" applyNumberFormat="1" applyFont="1" applyFill="1" applyBorder="1" applyAlignment="1">
      <alignment vertical="center"/>
    </xf>
    <xf numFmtId="0" fontId="34" fillId="0" borderId="0" xfId="0" applyFont="1" applyFill="1"/>
    <xf numFmtId="0" fontId="42" fillId="0" borderId="0" xfId="0" applyFont="1" applyFill="1" applyBorder="1" applyAlignment="1">
      <alignment horizontal="center" vertical="center"/>
    </xf>
    <xf numFmtId="44" fontId="34" fillId="0" borderId="0" xfId="0" applyNumberFormat="1" applyFont="1" applyFill="1"/>
    <xf numFmtId="0" fontId="44" fillId="0" borderId="0" xfId="0" applyFont="1" applyFill="1"/>
    <xf numFmtId="43" fontId="34" fillId="0" borderId="0" xfId="0" applyNumberFormat="1" applyFont="1" applyFill="1"/>
    <xf numFmtId="0" fontId="34" fillId="0" borderId="0" xfId="0" applyNumberFormat="1" applyFont="1" applyFill="1" applyBorder="1" applyAlignment="1">
      <alignment vertical="center"/>
    </xf>
    <xf numFmtId="0" fontId="34" fillId="0" borderId="1" xfId="0" applyFont="1" applyFill="1" applyBorder="1" applyAlignment="1">
      <alignment horizontal="center"/>
    </xf>
    <xf numFmtId="0" fontId="34" fillId="0" borderId="1" xfId="0" applyFont="1" applyFill="1" applyBorder="1" applyAlignment="1">
      <alignment horizontal="center" wrapText="1"/>
    </xf>
    <xf numFmtId="0" fontId="34" fillId="0" borderId="3" xfId="0" applyFont="1" applyFill="1" applyBorder="1" applyAlignment="1">
      <alignment horizontal="left"/>
    </xf>
    <xf numFmtId="0" fontId="34" fillId="0" borderId="3" xfId="0" applyFont="1" applyFill="1" applyBorder="1" applyAlignment="1">
      <alignment horizontal="center" vertical="center"/>
    </xf>
    <xf numFmtId="0" fontId="34" fillId="0" borderId="3" xfId="0" applyFont="1" applyFill="1" applyBorder="1" applyAlignment="1">
      <alignment horizontal="center"/>
    </xf>
    <xf numFmtId="0" fontId="34" fillId="0" borderId="6" xfId="0" applyFont="1" applyFill="1" applyBorder="1" applyAlignment="1">
      <alignment horizontal="left"/>
    </xf>
    <xf numFmtId="9" fontId="34" fillId="0" borderId="6" xfId="32" applyFont="1" applyFill="1" applyBorder="1" applyAlignment="1">
      <alignment horizontal="center"/>
    </xf>
    <xf numFmtId="0" fontId="34" fillId="0" borderId="6" xfId="0" applyFont="1" applyFill="1" applyBorder="1" applyAlignment="1">
      <alignment horizontal="center"/>
    </xf>
    <xf numFmtId="1" fontId="34" fillId="0" borderId="6" xfId="32" applyNumberFormat="1" applyFont="1" applyFill="1" applyBorder="1" applyAlignment="1">
      <alignment horizontal="center"/>
    </xf>
    <xf numFmtId="0" fontId="46" fillId="0" borderId="0" xfId="0" applyFont="1" applyFill="1" applyBorder="1"/>
    <xf numFmtId="9" fontId="34" fillId="0" borderId="6" xfId="32" applyFont="1" applyFill="1" applyBorder="1"/>
    <xf numFmtId="0" fontId="34" fillId="0" borderId="6" xfId="0" applyNumberFormat="1" applyFont="1" applyFill="1" applyBorder="1" applyAlignment="1">
      <alignment horizontal="center" vertical="center"/>
    </xf>
    <xf numFmtId="0" fontId="34" fillId="0" borderId="6" xfId="32" applyNumberFormat="1" applyFont="1" applyFill="1" applyBorder="1" applyAlignment="1">
      <alignment horizontal="center"/>
    </xf>
    <xf numFmtId="0" fontId="47" fillId="0" borderId="0" xfId="0" applyFont="1" applyFill="1" applyBorder="1"/>
    <xf numFmtId="0" fontId="35" fillId="2" borderId="1" xfId="0" applyFont="1" applyFill="1" applyBorder="1" applyAlignment="1">
      <alignment horizontal="centerContinuous"/>
    </xf>
    <xf numFmtId="0" fontId="34" fillId="0" borderId="1" xfId="0" applyFont="1" applyFill="1" applyBorder="1" applyAlignment="1">
      <alignment horizontal="left" vertical="center" wrapText="1"/>
    </xf>
    <xf numFmtId="0" fontId="35" fillId="3" borderId="1" xfId="0" applyFont="1" applyFill="1" applyBorder="1" applyAlignment="1">
      <alignment horizontal="center"/>
    </xf>
    <xf numFmtId="0" fontId="34" fillId="0" borderId="0" xfId="0" applyFont="1" applyBorder="1"/>
    <xf numFmtId="0" fontId="47" fillId="0" borderId="0" xfId="0" applyFont="1" applyBorder="1"/>
    <xf numFmtId="0" fontId="43" fillId="0" borderId="1" xfId="0" applyFont="1" applyFill="1" applyBorder="1" applyAlignment="1">
      <alignment horizontal="left"/>
    </xf>
    <xf numFmtId="0" fontId="34" fillId="0" borderId="1" xfId="0" applyFont="1" applyFill="1" applyBorder="1" applyAlignment="1">
      <alignment horizontal="left" wrapText="1" indent="2"/>
    </xf>
    <xf numFmtId="0" fontId="43" fillId="0" borderId="1" xfId="0" applyFont="1" applyFill="1" applyBorder="1" applyAlignment="1">
      <alignment horizontal="left" wrapText="1"/>
    </xf>
    <xf numFmtId="0" fontId="35" fillId="0" borderId="1" xfId="0" applyFont="1" applyFill="1" applyBorder="1" applyAlignment="1">
      <alignment horizontal="left" wrapText="1" indent="2"/>
    </xf>
    <xf numFmtId="166" fontId="35" fillId="0" borderId="0" xfId="0" applyNumberFormat="1" applyFont="1" applyFill="1" applyBorder="1" applyAlignment="1">
      <alignment horizontal="centerContinuous" vertical="center"/>
    </xf>
    <xf numFmtId="166" fontId="34" fillId="0" borderId="0" xfId="0" applyNumberFormat="1" applyFont="1" applyFill="1" applyBorder="1" applyAlignment="1">
      <alignment horizontal="center" vertical="center"/>
    </xf>
    <xf numFmtId="166" fontId="33" fillId="0" borderId="0" xfId="0" applyNumberFormat="1" applyFont="1" applyFill="1"/>
    <xf numFmtId="166" fontId="34" fillId="0" borderId="0" xfId="0" applyNumberFormat="1" applyFont="1" applyFill="1" applyBorder="1" applyAlignment="1">
      <alignment horizontal="left" vertical="center"/>
    </xf>
    <xf numFmtId="166" fontId="35" fillId="0" borderId="0" xfId="14" applyNumberFormat="1" applyFont="1" applyFill="1" applyBorder="1" applyAlignment="1">
      <alignment horizontal="right" vertical="center"/>
    </xf>
    <xf numFmtId="166" fontId="35" fillId="0" borderId="6" xfId="0" applyNumberFormat="1" applyFont="1" applyFill="1" applyBorder="1" applyAlignment="1">
      <alignment horizontal="center" vertical="center" wrapText="1"/>
    </xf>
    <xf numFmtId="166" fontId="34" fillId="0" borderId="6" xfId="14" applyNumberFormat="1" applyFont="1" applyFill="1" applyBorder="1" applyAlignment="1">
      <alignment horizontal="right" vertical="center"/>
    </xf>
    <xf numFmtId="166" fontId="45" fillId="0" borderId="0" xfId="0" applyNumberFormat="1" applyFont="1" applyFill="1" applyBorder="1" applyAlignment="1">
      <alignment vertical="center"/>
    </xf>
    <xf numFmtId="2" fontId="35" fillId="0" borderId="9" xfId="0" applyNumberFormat="1" applyFont="1" applyFill="1" applyBorder="1" applyAlignment="1">
      <alignment horizontal="centerContinuous"/>
    </xf>
    <xf numFmtId="164" fontId="35" fillId="0" borderId="10" xfId="0" applyNumberFormat="1" applyFont="1" applyFill="1" applyBorder="1" applyAlignment="1">
      <alignment horizontal="centerContinuous"/>
    </xf>
    <xf numFmtId="164" fontId="35" fillId="0" borderId="6" xfId="0" applyNumberFormat="1" applyFont="1" applyFill="1" applyBorder="1" applyAlignment="1">
      <alignment horizontal="center"/>
    </xf>
    <xf numFmtId="164" fontId="34" fillId="0" borderId="0" xfId="0" applyNumberFormat="1" applyFont="1" applyFill="1" applyBorder="1" applyAlignment="1"/>
    <xf numFmtId="0" fontId="49" fillId="0" borderId="0" xfId="0" applyFont="1" applyAlignment="1">
      <alignment vertical="center"/>
    </xf>
    <xf numFmtId="165" fontId="34" fillId="0" borderId="0" xfId="0" applyNumberFormat="1" applyFont="1" applyFill="1" applyBorder="1" applyAlignment="1">
      <alignment horizontal="center" wrapText="1"/>
    </xf>
    <xf numFmtId="43" fontId="34" fillId="0" borderId="0" xfId="0" applyNumberFormat="1" applyFont="1" applyFill="1" applyBorder="1"/>
    <xf numFmtId="43" fontId="39" fillId="0" borderId="0" xfId="0" applyNumberFormat="1" applyFont="1" applyFill="1" applyAlignment="1" applyProtection="1"/>
    <xf numFmtId="0" fontId="34" fillId="0" borderId="6" xfId="0" applyFont="1" applyFill="1" applyBorder="1" applyAlignment="1">
      <alignment wrapText="1"/>
    </xf>
    <xf numFmtId="0" fontId="34" fillId="0" borderId="6" xfId="0" applyFont="1" applyFill="1" applyBorder="1" applyAlignment="1"/>
    <xf numFmtId="0" fontId="34" fillId="0" borderId="0" xfId="0" applyFont="1"/>
    <xf numFmtId="0" fontId="34" fillId="36" borderId="6" xfId="0" applyFont="1" applyFill="1" applyBorder="1"/>
    <xf numFmtId="0" fontId="34" fillId="0" borderId="6" xfId="0" applyFont="1" applyBorder="1"/>
    <xf numFmtId="0" fontId="34" fillId="0" borderId="6" xfId="0" applyFont="1" applyFill="1" applyBorder="1" applyAlignment="1">
      <alignment horizontal="center" vertical="center"/>
    </xf>
    <xf numFmtId="0" fontId="34" fillId="0" borderId="6" xfId="0" applyFont="1" applyFill="1" applyBorder="1" applyAlignment="1">
      <alignment horizontal="left"/>
    </xf>
    <xf numFmtId="9" fontId="34" fillId="0" borderId="6" xfId="32" applyFont="1" applyFill="1" applyBorder="1" applyAlignment="1">
      <alignment horizontal="center"/>
    </xf>
    <xf numFmtId="1" fontId="34" fillId="0" borderId="6" xfId="32" applyNumberFormat="1" applyFont="1" applyFill="1" applyBorder="1" applyAlignment="1">
      <alignment horizontal="center"/>
    </xf>
    <xf numFmtId="9" fontId="34" fillId="0" borderId="6" xfId="32" applyFont="1" applyFill="1" applyBorder="1"/>
    <xf numFmtId="171" fontId="35" fillId="0" borderId="1" xfId="0" applyNumberFormat="1" applyFont="1" applyFill="1" applyBorder="1" applyAlignment="1">
      <alignment horizontal="center"/>
    </xf>
    <xf numFmtId="5" fontId="34" fillId="0" borderId="1" xfId="14" applyNumberFormat="1" applyFont="1" applyFill="1" applyBorder="1"/>
    <xf numFmtId="164" fontId="50" fillId="0" borderId="0" xfId="0" applyNumberFormat="1" applyFont="1" applyFill="1" applyBorder="1"/>
    <xf numFmtId="165" fontId="34" fillId="0" borderId="0" xfId="1" applyNumberFormat="1" applyFont="1" applyFill="1" applyBorder="1" applyAlignment="1">
      <alignment horizontal="center" wrapText="1"/>
    </xf>
    <xf numFmtId="165" fontId="34" fillId="0" borderId="1" xfId="1" applyNumberFormat="1" applyFont="1" applyFill="1" applyBorder="1" applyAlignment="1">
      <alignment horizontal="centerContinuous"/>
    </xf>
    <xf numFmtId="165" fontId="34" fillId="0" borderId="1" xfId="1" applyNumberFormat="1" applyFont="1" applyFill="1" applyBorder="1" applyAlignment="1">
      <alignment horizontal="center"/>
    </xf>
    <xf numFmtId="171" fontId="35" fillId="0" borderId="6" xfId="0" applyNumberFormat="1" applyFont="1" applyFill="1" applyBorder="1" applyAlignment="1">
      <alignment horizontal="center"/>
    </xf>
    <xf numFmtId="171" fontId="35" fillId="0" borderId="8" xfId="0" applyNumberFormat="1" applyFont="1" applyFill="1" applyBorder="1" applyAlignment="1">
      <alignment horizontal="center"/>
    </xf>
    <xf numFmtId="166" fontId="34" fillId="0" borderId="6" xfId="0" applyNumberFormat="1" applyFont="1" applyFill="1" applyBorder="1" applyAlignment="1"/>
    <xf numFmtId="166" fontId="34" fillId="0" borderId="6" xfId="14" applyNumberFormat="1" applyFont="1" applyFill="1" applyBorder="1" applyAlignment="1"/>
    <xf numFmtId="5" fontId="34" fillId="0" borderId="6" xfId="0" applyNumberFormat="1" applyFont="1" applyFill="1" applyBorder="1"/>
    <xf numFmtId="5" fontId="34" fillId="0" borderId="8" xfId="0" applyNumberFormat="1" applyFont="1" applyFill="1" applyBorder="1"/>
    <xf numFmtId="5" fontId="34" fillId="0" borderId="6" xfId="14" applyNumberFormat="1" applyFont="1" applyFill="1" applyBorder="1"/>
    <xf numFmtId="37" fontId="34" fillId="0" borderId="6" xfId="14" applyNumberFormat="1" applyFont="1" applyFill="1" applyBorder="1" applyAlignment="1"/>
    <xf numFmtId="37" fontId="34" fillId="0" borderId="6" xfId="1" applyNumberFormat="1" applyFont="1" applyFill="1" applyBorder="1"/>
    <xf numFmtId="165" fontId="34" fillId="0" borderId="6" xfId="1" applyNumberFormat="1" applyFont="1" applyFill="1" applyBorder="1" applyAlignment="1">
      <alignment horizontal="right"/>
    </xf>
    <xf numFmtId="0" fontId="35" fillId="0" borderId="6" xfId="0" applyFont="1" applyFill="1" applyBorder="1"/>
    <xf numFmtId="7" fontId="35" fillId="0" borderId="6" xfId="14" applyNumberFormat="1" applyFont="1" applyFill="1" applyBorder="1" applyAlignment="1">
      <alignment horizontal="center"/>
    </xf>
    <xf numFmtId="0" fontId="35" fillId="0" borderId="6" xfId="0" applyFont="1" applyFill="1" applyBorder="1" applyAlignment="1">
      <alignment horizontal="left"/>
    </xf>
    <xf numFmtId="164" fontId="35" fillId="0" borderId="6" xfId="0" applyNumberFormat="1" applyFont="1" applyFill="1" applyBorder="1" applyAlignment="1"/>
    <xf numFmtId="2" fontId="35" fillId="0" borderId="6" xfId="0" applyNumberFormat="1" applyFont="1" applyFill="1" applyBorder="1" applyAlignment="1">
      <alignment horizontal="center"/>
    </xf>
    <xf numFmtId="173" fontId="35" fillId="0" borderId="6" xfId="0" applyNumberFormat="1" applyFont="1" applyFill="1" applyBorder="1" applyAlignment="1">
      <alignment horizontal="center"/>
    </xf>
    <xf numFmtId="0" fontId="34" fillId="0" borderId="6" xfId="27" applyFont="1" applyBorder="1"/>
    <xf numFmtId="0" fontId="34" fillId="0" borderId="6" xfId="27" applyFont="1" applyFill="1" applyBorder="1"/>
    <xf numFmtId="3" fontId="34" fillId="0" borderId="6" xfId="27" applyNumberFormat="1" applyFont="1" applyFill="1" applyBorder="1" applyAlignment="1"/>
    <xf numFmtId="164" fontId="34" fillId="0" borderId="6" xfId="14" applyNumberFormat="1" applyFont="1" applyFill="1" applyBorder="1" applyAlignment="1"/>
    <xf numFmtId="164" fontId="34" fillId="0" borderId="6" xfId="14" applyNumberFormat="1" applyFont="1" applyFill="1" applyBorder="1" applyAlignment="1">
      <alignment horizontal="center"/>
    </xf>
    <xf numFmtId="2" fontId="34" fillId="0" borderId="6" xfId="0" applyNumberFormat="1" applyFont="1" applyFill="1" applyBorder="1" applyAlignment="1">
      <alignment horizontal="center"/>
    </xf>
    <xf numFmtId="173" fontId="34" fillId="0" borderId="6" xfId="27" applyNumberFormat="1" applyFont="1" applyFill="1" applyBorder="1" applyAlignment="1">
      <alignment horizontal="center"/>
    </xf>
    <xf numFmtId="14" fontId="34" fillId="0" borderId="6" xfId="27" applyNumberFormat="1" applyFont="1" applyFill="1" applyBorder="1"/>
    <xf numFmtId="0" fontId="34" fillId="0" borderId="6" xfId="27" applyFont="1" applyBorder="1" applyAlignment="1"/>
    <xf numFmtId="164" fontId="34" fillId="0" borderId="6" xfId="14" applyNumberFormat="1" applyFont="1" applyBorder="1" applyAlignment="1"/>
    <xf numFmtId="17" fontId="34" fillId="0" borderId="6" xfId="27" applyNumberFormat="1" applyFont="1" applyBorder="1" applyAlignment="1">
      <alignment horizontal="center"/>
    </xf>
    <xf numFmtId="14" fontId="34" fillId="0" borderId="6" xfId="27" applyNumberFormat="1" applyFont="1" applyBorder="1"/>
    <xf numFmtId="165" fontId="34" fillId="0" borderId="6" xfId="1" applyNumberFormat="1" applyFont="1" applyFill="1" applyBorder="1" applyAlignment="1"/>
    <xf numFmtId="7" fontId="34" fillId="0" borderId="6" xfId="14" applyNumberFormat="1" applyFont="1" applyFill="1" applyBorder="1" applyAlignment="1">
      <alignment horizontal="center"/>
    </xf>
    <xf numFmtId="39" fontId="34" fillId="0" borderId="6" xfId="14" applyNumberFormat="1" applyFont="1" applyFill="1" applyBorder="1" applyAlignment="1">
      <alignment horizontal="center"/>
    </xf>
    <xf numFmtId="17" fontId="34" fillId="0" borderId="6" xfId="0" applyNumberFormat="1" applyFont="1" applyFill="1" applyBorder="1" applyAlignment="1">
      <alignment horizontal="center" wrapText="1"/>
    </xf>
    <xf numFmtId="0" fontId="35" fillId="0" borderId="6" xfId="0" applyFont="1" applyFill="1" applyBorder="1" applyAlignment="1">
      <alignment horizontal="right" wrapText="1"/>
    </xf>
    <xf numFmtId="0" fontId="34" fillId="0" borderId="6" xfId="0" applyFont="1" applyFill="1" applyBorder="1" applyAlignment="1">
      <alignment horizontal="right" wrapText="1"/>
    </xf>
    <xf numFmtId="37" fontId="34" fillId="0" borderId="6" xfId="1" applyNumberFormat="1" applyFont="1" applyFill="1" applyBorder="1" applyAlignment="1">
      <alignment horizontal="right"/>
    </xf>
    <xf numFmtId="164" fontId="34" fillId="0" borderId="6" xfId="14" applyNumberFormat="1" applyFont="1" applyFill="1" applyBorder="1" applyAlignment="1">
      <alignment horizontal="right"/>
    </xf>
    <xf numFmtId="37" fontId="34" fillId="0" borderId="6" xfId="1" applyNumberFormat="1" applyFont="1" applyFill="1" applyBorder="1" applyAlignment="1">
      <alignment horizontal="center"/>
    </xf>
    <xf numFmtId="0" fontId="34" fillId="0" borderId="6" xfId="0" applyFont="1" applyFill="1" applyBorder="1" applyAlignment="1">
      <alignment horizontal="right"/>
    </xf>
    <xf numFmtId="173" fontId="34" fillId="0" borderId="6" xfId="0" applyNumberFormat="1" applyFont="1" applyFill="1" applyBorder="1" applyAlignment="1">
      <alignment horizontal="right"/>
    </xf>
    <xf numFmtId="0" fontId="34" fillId="0" borderId="0" xfId="0" applyFont="1" applyFill="1" applyBorder="1" applyAlignment="1">
      <alignment horizontal="right"/>
    </xf>
    <xf numFmtId="0" fontId="35" fillId="0" borderId="6" xfId="0" applyFont="1" applyBorder="1"/>
    <xf numFmtId="0" fontId="34" fillId="0" borderId="6" xfId="0" applyFont="1" applyBorder="1" applyAlignment="1">
      <alignment horizontal="center"/>
    </xf>
    <xf numFmtId="165" fontId="34" fillId="0" borderId="6" xfId="1" applyNumberFormat="1" applyFont="1" applyBorder="1"/>
    <xf numFmtId="166" fontId="34" fillId="0" borderId="6" xfId="26" applyNumberFormat="1" applyFont="1" applyFill="1" applyBorder="1"/>
    <xf numFmtId="0" fontId="35" fillId="0" borderId="0" xfId="0" applyFont="1" applyFill="1" applyBorder="1" applyAlignment="1">
      <alignment horizontal="center" vertical="center"/>
    </xf>
    <xf numFmtId="5" fontId="34" fillId="0" borderId="6" xfId="14" applyNumberFormat="1" applyFont="1" applyFill="1" applyBorder="1" applyAlignment="1">
      <alignment vertical="center"/>
    </xf>
    <xf numFmtId="5" fontId="35" fillId="0" borderId="6" xfId="14" applyNumberFormat="1" applyFont="1" applyFill="1" applyBorder="1" applyAlignment="1">
      <alignment vertical="center"/>
    </xf>
    <xf numFmtId="17" fontId="34" fillId="0" borderId="0" xfId="14" applyNumberFormat="1" applyFont="1" applyFill="1" applyBorder="1" applyAlignment="1">
      <alignment horizontal="center" vertical="center"/>
    </xf>
    <xf numFmtId="5" fontId="34" fillId="0" borderId="6" xfId="0" applyNumberFormat="1" applyFont="1" applyFill="1" applyBorder="1" applyAlignment="1">
      <alignment vertical="center"/>
    </xf>
    <xf numFmtId="5" fontId="43" fillId="0" borderId="0" xfId="14" applyNumberFormat="1" applyFont="1" applyFill="1" applyBorder="1" applyAlignment="1">
      <alignment horizontal="center" vertical="center"/>
    </xf>
    <xf numFmtId="0" fontId="43" fillId="0" borderId="0" xfId="14" applyNumberFormat="1" applyFont="1" applyFill="1" applyBorder="1" applyAlignment="1">
      <alignment horizontal="center" vertical="center"/>
    </xf>
    <xf numFmtId="17" fontId="35" fillId="0" borderId="6" xfId="0" applyNumberFormat="1" applyFont="1" applyFill="1" applyBorder="1" applyAlignment="1">
      <alignment horizontal="left" vertical="center" wrapText="1"/>
    </xf>
    <xf numFmtId="5" fontId="35" fillId="0" borderId="6" xfId="14" applyNumberFormat="1" applyFont="1" applyFill="1" applyBorder="1" applyAlignment="1">
      <alignment horizontal="right" vertical="center"/>
    </xf>
    <xf numFmtId="5" fontId="51" fillId="0" borderId="6" xfId="14" applyNumberFormat="1" applyFont="1" applyFill="1" applyBorder="1" applyAlignment="1">
      <alignment horizontal="right" vertical="center"/>
    </xf>
    <xf numFmtId="174" fontId="34" fillId="0" borderId="0" xfId="14" applyNumberFormat="1" applyFont="1" applyFill="1" applyBorder="1" applyAlignment="1">
      <alignment horizontal="center" vertical="center"/>
    </xf>
    <xf numFmtId="17" fontId="34" fillId="0" borderId="0" xfId="0" applyNumberFormat="1" applyFont="1" applyFill="1" applyBorder="1" applyAlignment="1">
      <alignment horizontal="center" vertical="center" wrapText="1"/>
    </xf>
    <xf numFmtId="17" fontId="35" fillId="0" borderId="6" xfId="0" applyNumberFormat="1" applyFont="1" applyFill="1" applyBorder="1" applyAlignment="1">
      <alignment horizontal="center"/>
    </xf>
    <xf numFmtId="166" fontId="35" fillId="0" borderId="6" xfId="0" applyNumberFormat="1" applyFont="1" applyFill="1" applyBorder="1" applyAlignment="1">
      <alignment horizontal="center" wrapText="1"/>
    </xf>
    <xf numFmtId="49" fontId="35" fillId="0" borderId="6" xfId="0" applyNumberFormat="1" applyFont="1" applyFill="1" applyBorder="1" applyAlignment="1">
      <alignment horizontal="center" wrapText="1"/>
    </xf>
    <xf numFmtId="49" fontId="35" fillId="0" borderId="6" xfId="0" applyNumberFormat="1" applyFont="1" applyFill="1" applyBorder="1" applyAlignment="1">
      <alignment horizontal="center" vertical="center" wrapText="1"/>
    </xf>
    <xf numFmtId="0" fontId="35" fillId="0" borderId="6" xfId="0" applyFont="1" applyFill="1" applyBorder="1" applyAlignment="1">
      <alignment vertical="center"/>
    </xf>
    <xf numFmtId="17" fontId="34" fillId="0" borderId="6" xfId="0" applyNumberFormat="1" applyFont="1" applyFill="1" applyBorder="1" applyAlignment="1">
      <alignment vertical="center" wrapText="1"/>
    </xf>
    <xf numFmtId="49" fontId="34" fillId="0" borderId="6" xfId="0" applyNumberFormat="1" applyFont="1" applyFill="1" applyBorder="1" applyAlignment="1">
      <alignment horizontal="center" vertical="center" wrapText="1"/>
    </xf>
    <xf numFmtId="0" fontId="34" fillId="0" borderId="6" xfId="26" applyFont="1" applyFill="1" applyBorder="1" applyAlignment="1">
      <alignment vertical="center" wrapText="1"/>
    </xf>
    <xf numFmtId="0" fontId="34" fillId="0" borderId="6" xfId="0" applyNumberFormat="1" applyFont="1" applyFill="1" applyBorder="1" applyAlignment="1">
      <alignment vertical="top" wrapText="1"/>
    </xf>
    <xf numFmtId="0" fontId="34" fillId="0" borderId="6" xfId="0" applyNumberFormat="1" applyFont="1" applyFill="1" applyBorder="1" applyAlignment="1">
      <alignment vertical="center" wrapText="1"/>
    </xf>
    <xf numFmtId="3" fontId="34" fillId="0" borderId="6" xfId="0" applyNumberFormat="1" applyFont="1" applyFill="1" applyBorder="1" applyAlignment="1">
      <alignment horizontal="center" vertical="center"/>
    </xf>
    <xf numFmtId="0" fontId="34" fillId="0" borderId="6" xfId="0" applyFont="1" applyFill="1" applyBorder="1" applyAlignment="1">
      <alignment vertical="top" wrapText="1"/>
    </xf>
    <xf numFmtId="166" fontId="34" fillId="0" borderId="8" xfId="0" applyNumberFormat="1" applyFont="1" applyFill="1" applyBorder="1" applyAlignment="1">
      <alignment horizontal="center" vertical="center"/>
    </xf>
    <xf numFmtId="0" fontId="32" fillId="0" borderId="6" xfId="0" applyFont="1" applyFill="1" applyBorder="1" applyAlignment="1">
      <alignment vertical="center"/>
    </xf>
    <xf numFmtId="49" fontId="34" fillId="0" borderId="6" xfId="14" applyNumberFormat="1" applyFont="1" applyFill="1" applyBorder="1" applyAlignment="1">
      <alignment horizontal="center" vertical="center" wrapText="1"/>
    </xf>
    <xf numFmtId="166" fontId="35" fillId="0" borderId="6" xfId="14" applyNumberFormat="1" applyFont="1" applyFill="1" applyBorder="1" applyAlignment="1">
      <alignment horizontal="center" vertical="center"/>
    </xf>
    <xf numFmtId="0" fontId="42" fillId="0" borderId="6" xfId="0" applyFont="1" applyFill="1" applyBorder="1" applyAlignment="1">
      <alignment vertical="center" wrapText="1"/>
    </xf>
    <xf numFmtId="2" fontId="34" fillId="0" borderId="6" xfId="0" applyNumberFormat="1" applyFont="1" applyFill="1" applyBorder="1" applyAlignment="1">
      <alignment horizontal="center" vertical="center" wrapText="1"/>
    </xf>
    <xf numFmtId="166" fontId="35" fillId="0" borderId="6" xfId="0" applyNumberFormat="1" applyFont="1" applyFill="1" applyBorder="1" applyAlignment="1">
      <alignment horizontal="center" vertical="center"/>
    </xf>
    <xf numFmtId="0" fontId="34" fillId="0" borderId="6" xfId="0" applyFont="1" applyFill="1" applyBorder="1" applyAlignment="1">
      <alignment horizontal="right" vertical="center"/>
    </xf>
    <xf numFmtId="166" fontId="35" fillId="0" borderId="6" xfId="14" applyNumberFormat="1" applyFont="1" applyFill="1" applyBorder="1" applyAlignment="1">
      <alignment horizontal="right" vertical="center"/>
    </xf>
    <xf numFmtId="166" fontId="34" fillId="0" borderId="6" xfId="14" quotePrefix="1" applyNumberFormat="1" applyFont="1" applyFill="1" applyBorder="1" applyAlignment="1">
      <alignment horizontal="center" vertical="center"/>
    </xf>
    <xf numFmtId="0" fontId="52" fillId="0" borderId="6" xfId="0" applyFont="1" applyFill="1" applyBorder="1" applyAlignment="1">
      <alignment vertical="center" wrapText="1"/>
    </xf>
    <xf numFmtId="0" fontId="52" fillId="0" borderId="26" xfId="0" applyFont="1" applyFill="1" applyBorder="1" applyAlignment="1">
      <alignment wrapText="1"/>
    </xf>
    <xf numFmtId="0" fontId="35" fillId="0" borderId="0" xfId="0" applyFont="1" applyFill="1" applyBorder="1"/>
    <xf numFmtId="169" fontId="34" fillId="0" borderId="6" xfId="14" applyNumberFormat="1" applyFont="1" applyFill="1" applyBorder="1" applyAlignment="1">
      <alignment horizontal="center" vertical="center"/>
    </xf>
    <xf numFmtId="44" fontId="34" fillId="0" borderId="6" xfId="14" applyNumberFormat="1" applyFont="1" applyFill="1" applyBorder="1"/>
    <xf numFmtId="44" fontId="34" fillId="0" borderId="6" xfId="14" applyFont="1" applyFill="1" applyBorder="1" applyAlignment="1">
      <alignment horizontal="center" vertical="center"/>
    </xf>
    <xf numFmtId="0" fontId="43" fillId="0" borderId="0" xfId="0" applyFont="1" applyFill="1" applyBorder="1"/>
    <xf numFmtId="0" fontId="42" fillId="0" borderId="0" xfId="0" applyFont="1" applyFill="1" applyBorder="1"/>
    <xf numFmtId="44" fontId="34" fillId="0" borderId="6" xfId="14" applyFont="1" applyFill="1" applyBorder="1"/>
    <xf numFmtId="44" fontId="34" fillId="0" borderId="6" xfId="0" applyNumberFormat="1" applyFont="1" applyFill="1" applyBorder="1"/>
    <xf numFmtId="44" fontId="45" fillId="0" borderId="6" xfId="14" applyFont="1" applyFill="1" applyBorder="1"/>
    <xf numFmtId="0" fontId="51" fillId="0" borderId="6" xfId="0" applyFont="1" applyFill="1" applyBorder="1" applyAlignment="1">
      <alignment horizontal="left" indent="1"/>
    </xf>
    <xf numFmtId="44" fontId="54" fillId="0" borderId="6" xfId="14" applyFont="1" applyFill="1" applyBorder="1"/>
    <xf numFmtId="44" fontId="51" fillId="0" borderId="6" xfId="0" applyNumberFormat="1" applyFont="1" applyFill="1" applyBorder="1"/>
    <xf numFmtId="44" fontId="35" fillId="0" borderId="6" xfId="0" applyNumberFormat="1" applyFont="1" applyFill="1" applyBorder="1"/>
    <xf numFmtId="44" fontId="34" fillId="0" borderId="0" xfId="14" applyFont="1" applyFill="1" applyBorder="1"/>
    <xf numFmtId="0" fontId="34" fillId="0" borderId="6" xfId="0" applyFont="1" applyFill="1" applyBorder="1" applyAlignment="1">
      <alignment wrapText="1"/>
    </xf>
    <xf numFmtId="3" fontId="35" fillId="0" borderId="6" xfId="0" applyNumberFormat="1" applyFont="1" applyFill="1" applyBorder="1" applyAlignment="1">
      <alignment horizontal="center" vertical="center"/>
    </xf>
    <xf numFmtId="0" fontId="35" fillId="0" borderId="6" xfId="0" applyFont="1" applyFill="1" applyBorder="1" applyAlignment="1">
      <alignment horizontal="center" vertical="center" wrapText="1"/>
    </xf>
    <xf numFmtId="166" fontId="35" fillId="0" borderId="6" xfId="14" applyNumberFormat="1" applyFont="1" applyFill="1" applyBorder="1" applyAlignment="1">
      <alignment horizontal="center" vertical="center" wrapText="1"/>
    </xf>
    <xf numFmtId="165" fontId="34" fillId="36" borderId="6" xfId="1" applyNumberFormat="1" applyFont="1" applyFill="1" applyBorder="1"/>
    <xf numFmtId="165" fontId="34" fillId="0" borderId="6" xfId="1" applyNumberFormat="1" applyFont="1" applyBorder="1" applyAlignment="1">
      <alignment horizontal="center"/>
    </xf>
    <xf numFmtId="0" fontId="34" fillId="0" borderId="0" xfId="0" applyFont="1" applyFill="1" applyAlignment="1" applyProtection="1"/>
    <xf numFmtId="165" fontId="34" fillId="0" borderId="0" xfId="0" applyNumberFormat="1" applyFont="1" applyFill="1"/>
    <xf numFmtId="0" fontId="35" fillId="0" borderId="5" xfId="0" applyFont="1" applyFill="1" applyBorder="1" applyAlignment="1">
      <alignment horizontal="center"/>
    </xf>
    <xf numFmtId="0" fontId="34" fillId="0" borderId="4" xfId="0" applyFont="1" applyFill="1" applyBorder="1" applyAlignment="1"/>
    <xf numFmtId="0" fontId="34" fillId="0" borderId="2" xfId="0" applyFont="1" applyFill="1" applyBorder="1" applyAlignment="1"/>
    <xf numFmtId="0" fontId="35" fillId="0" borderId="14" xfId="0" applyFont="1" applyFill="1" applyBorder="1" applyAlignment="1">
      <alignment horizontal="center"/>
    </xf>
    <xf numFmtId="0" fontId="34" fillId="0" borderId="15" xfId="0" applyFont="1" applyFill="1" applyBorder="1" applyAlignment="1">
      <alignment horizontal="center"/>
    </xf>
    <xf numFmtId="0" fontId="34" fillId="0" borderId="16" xfId="0" applyFont="1" applyFill="1" applyBorder="1" applyAlignment="1">
      <alignment horizontal="center"/>
    </xf>
    <xf numFmtId="0" fontId="35" fillId="0" borderId="12" xfId="0" applyFont="1" applyFill="1" applyBorder="1" applyAlignment="1">
      <alignment horizontal="center"/>
    </xf>
    <xf numFmtId="0" fontId="35" fillId="0" borderId="13" xfId="0" applyFont="1" applyFill="1" applyBorder="1" applyAlignment="1">
      <alignment horizontal="center"/>
    </xf>
    <xf numFmtId="0" fontId="34" fillId="0" borderId="11" xfId="0" applyFont="1" applyFill="1" applyBorder="1" applyAlignment="1"/>
    <xf numFmtId="0" fontId="34" fillId="0" borderId="15" xfId="0" applyFont="1" applyFill="1" applyBorder="1" applyAlignment="1"/>
    <xf numFmtId="0" fontId="34" fillId="0" borderId="16" xfId="0" applyFont="1" applyFill="1" applyBorder="1" applyAlignment="1"/>
    <xf numFmtId="0" fontId="35" fillId="0" borderId="3"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6" xfId="0" applyFont="1" applyFill="1" applyBorder="1" applyAlignment="1">
      <alignment wrapText="1"/>
    </xf>
    <xf numFmtId="0" fontId="35" fillId="2" borderId="12" xfId="0" applyFont="1" applyFill="1" applyBorder="1" applyAlignment="1"/>
    <xf numFmtId="0" fontId="35" fillId="2" borderId="13" xfId="0" applyFont="1" applyFill="1" applyBorder="1" applyAlignment="1"/>
    <xf numFmtId="0" fontId="35" fillId="2" borderId="8" xfId="0" applyFont="1" applyFill="1" applyBorder="1" applyAlignment="1"/>
    <xf numFmtId="0" fontId="34" fillId="0" borderId="12" xfId="0" applyFont="1" applyFill="1" applyBorder="1" applyAlignment="1"/>
    <xf numFmtId="0" fontId="34" fillId="0" borderId="13" xfId="0" applyFont="1" applyFill="1" applyBorder="1" applyAlignment="1"/>
    <xf numFmtId="0" fontId="34" fillId="0" borderId="8" xfId="0" applyFont="1" applyFill="1" applyBorder="1" applyAlignment="1"/>
    <xf numFmtId="0" fontId="35" fillId="2" borderId="3" xfId="0" applyFont="1" applyFill="1" applyBorder="1" applyAlignment="1">
      <alignment horizontal="center" vertical="center"/>
    </xf>
    <xf numFmtId="0" fontId="35" fillId="2" borderId="12" xfId="0" applyNumberFormat="1" applyFont="1" applyFill="1" applyBorder="1" applyAlignment="1">
      <alignment wrapText="1"/>
    </xf>
    <xf numFmtId="0" fontId="35" fillId="2" borderId="13" xfId="0" applyFont="1" applyFill="1" applyBorder="1" applyAlignment="1">
      <alignment wrapText="1"/>
    </xf>
    <xf numFmtId="0" fontId="34" fillId="2" borderId="8" xfId="0" applyFont="1" applyFill="1" applyBorder="1" applyAlignment="1">
      <alignment wrapText="1"/>
    </xf>
    <xf numFmtId="0" fontId="32" fillId="35" borderId="12" xfId="0" applyFont="1" applyFill="1" applyBorder="1" applyAlignment="1"/>
    <xf numFmtId="0" fontId="33" fillId="35" borderId="13" xfId="0" applyFont="1" applyFill="1" applyBorder="1" applyAlignment="1"/>
    <xf numFmtId="0" fontId="33" fillId="35" borderId="8" xfId="0" applyFont="1" applyFill="1" applyBorder="1" applyAlignment="1"/>
    <xf numFmtId="0" fontId="48" fillId="2" borderId="13" xfId="0" applyFont="1" applyFill="1" applyBorder="1" applyAlignment="1"/>
    <xf numFmtId="0" fontId="34" fillId="2" borderId="13" xfId="0" applyFont="1" applyFill="1" applyBorder="1" applyAlignment="1"/>
    <xf numFmtId="0" fontId="34" fillId="2" borderId="8" xfId="0" applyFont="1" applyFill="1" applyBorder="1" applyAlignment="1"/>
    <xf numFmtId="0" fontId="34" fillId="0" borderId="6" xfId="0" applyNumberFormat="1" applyFont="1" applyFill="1" applyBorder="1" applyAlignment="1">
      <alignment wrapText="1"/>
    </xf>
    <xf numFmtId="0" fontId="34" fillId="0" borderId="6" xfId="0" applyFont="1" applyBorder="1" applyAlignment="1">
      <alignment wrapText="1"/>
    </xf>
    <xf numFmtId="0" fontId="34" fillId="0" borderId="6" xfId="0" applyFont="1" applyFill="1" applyBorder="1" applyAlignment="1"/>
    <xf numFmtId="0" fontId="34" fillId="0" borderId="6" xfId="26" applyFont="1" applyFill="1" applyBorder="1" applyAlignment="1">
      <alignment wrapText="1"/>
    </xf>
    <xf numFmtId="0" fontId="34" fillId="0" borderId="6" xfId="26" applyFont="1" applyBorder="1" applyAlignment="1"/>
    <xf numFmtId="0" fontId="42" fillId="0" borderId="6" xfId="0" applyFont="1" applyFill="1" applyBorder="1" applyAlignment="1">
      <alignment wrapText="1"/>
    </xf>
  </cellXfs>
  <cellStyles count="292">
    <cellStyle name="20% - Accent1" xfId="52" builtinId="30" customBuiltin="1"/>
    <cellStyle name="20% - Accent1 2" xfId="100"/>
    <cellStyle name="20% - Accent1 2 2" xfId="142"/>
    <cellStyle name="20% - Accent1 2 2 2" xfId="249"/>
    <cellStyle name="20% - Accent1 2 3" xfId="209"/>
    <cellStyle name="20% - Accent1 3" xfId="124"/>
    <cellStyle name="20% - Accent1 3 2" xfId="231"/>
    <cellStyle name="20% - Accent1 4" xfId="165"/>
    <cellStyle name="20% - Accent1 4 2" xfId="272"/>
    <cellStyle name="20% - Accent1 5" xfId="191"/>
    <cellStyle name="20% - Accent2" xfId="56" builtinId="34" customBuiltin="1"/>
    <cellStyle name="20% - Accent2 2" xfId="102"/>
    <cellStyle name="20% - Accent2 2 2" xfId="144"/>
    <cellStyle name="20% - Accent2 2 2 2" xfId="251"/>
    <cellStyle name="20% - Accent2 2 3" xfId="211"/>
    <cellStyle name="20% - Accent2 3" xfId="126"/>
    <cellStyle name="20% - Accent2 3 2" xfId="233"/>
    <cellStyle name="20% - Accent2 4" xfId="167"/>
    <cellStyle name="20% - Accent2 4 2" xfId="274"/>
    <cellStyle name="20% - Accent2 5" xfId="193"/>
    <cellStyle name="20% - Accent3" xfId="60" builtinId="38" customBuiltin="1"/>
    <cellStyle name="20% - Accent3 2" xfId="104"/>
    <cellStyle name="20% - Accent3 2 2" xfId="146"/>
    <cellStyle name="20% - Accent3 2 2 2" xfId="253"/>
    <cellStyle name="20% - Accent3 2 3" xfId="213"/>
    <cellStyle name="20% - Accent3 3" xfId="128"/>
    <cellStyle name="20% - Accent3 3 2" xfId="235"/>
    <cellStyle name="20% - Accent3 4" xfId="169"/>
    <cellStyle name="20% - Accent3 4 2" xfId="276"/>
    <cellStyle name="20% - Accent3 5" xfId="195"/>
    <cellStyle name="20% - Accent4" xfId="64" builtinId="42" customBuiltin="1"/>
    <cellStyle name="20% - Accent4 2" xfId="106"/>
    <cellStyle name="20% - Accent4 2 2" xfId="148"/>
    <cellStyle name="20% - Accent4 2 2 2" xfId="255"/>
    <cellStyle name="20% - Accent4 2 3" xfId="215"/>
    <cellStyle name="20% - Accent4 3" xfId="130"/>
    <cellStyle name="20% - Accent4 3 2" xfId="237"/>
    <cellStyle name="20% - Accent4 4" xfId="171"/>
    <cellStyle name="20% - Accent4 4 2" xfId="278"/>
    <cellStyle name="20% - Accent4 5" xfId="197"/>
    <cellStyle name="20% - Accent5" xfId="68" builtinId="46" customBuiltin="1"/>
    <cellStyle name="20% - Accent5 2" xfId="108"/>
    <cellStyle name="20% - Accent5 2 2" xfId="150"/>
    <cellStyle name="20% - Accent5 2 2 2" xfId="257"/>
    <cellStyle name="20% - Accent5 2 3" xfId="217"/>
    <cellStyle name="20% - Accent5 3" xfId="132"/>
    <cellStyle name="20% - Accent5 3 2" xfId="239"/>
    <cellStyle name="20% - Accent5 4" xfId="173"/>
    <cellStyle name="20% - Accent5 4 2" xfId="280"/>
    <cellStyle name="20% - Accent5 5" xfId="199"/>
    <cellStyle name="20% - Accent6" xfId="72" builtinId="50" customBuiltin="1"/>
    <cellStyle name="20% - Accent6 2" xfId="110"/>
    <cellStyle name="20% - Accent6 2 2" xfId="152"/>
    <cellStyle name="20% - Accent6 2 2 2" xfId="259"/>
    <cellStyle name="20% - Accent6 2 3" xfId="219"/>
    <cellStyle name="20% - Accent6 3" xfId="134"/>
    <cellStyle name="20% - Accent6 3 2" xfId="241"/>
    <cellStyle name="20% - Accent6 4" xfId="175"/>
    <cellStyle name="20% - Accent6 4 2" xfId="282"/>
    <cellStyle name="20% - Accent6 5" xfId="201"/>
    <cellStyle name="40% - Accent1" xfId="53" builtinId="31" customBuiltin="1"/>
    <cellStyle name="40% - Accent1 2" xfId="101"/>
    <cellStyle name="40% - Accent1 2 2" xfId="143"/>
    <cellStyle name="40% - Accent1 2 2 2" xfId="250"/>
    <cellStyle name="40% - Accent1 2 3" xfId="210"/>
    <cellStyle name="40% - Accent1 3" xfId="125"/>
    <cellStyle name="40% - Accent1 3 2" xfId="232"/>
    <cellStyle name="40% - Accent1 4" xfId="166"/>
    <cellStyle name="40% - Accent1 4 2" xfId="273"/>
    <cellStyle name="40% - Accent1 5" xfId="192"/>
    <cellStyle name="40% - Accent2" xfId="57" builtinId="35" customBuiltin="1"/>
    <cellStyle name="40% - Accent2 2" xfId="103"/>
    <cellStyle name="40% - Accent2 2 2" xfId="145"/>
    <cellStyle name="40% - Accent2 2 2 2" xfId="252"/>
    <cellStyle name="40% - Accent2 2 3" xfId="212"/>
    <cellStyle name="40% - Accent2 3" xfId="127"/>
    <cellStyle name="40% - Accent2 3 2" xfId="234"/>
    <cellStyle name="40% - Accent2 4" xfId="168"/>
    <cellStyle name="40% - Accent2 4 2" xfId="275"/>
    <cellStyle name="40% - Accent2 5" xfId="194"/>
    <cellStyle name="40% - Accent3" xfId="61" builtinId="39" customBuiltin="1"/>
    <cellStyle name="40% - Accent3 2" xfId="105"/>
    <cellStyle name="40% - Accent3 2 2" xfId="147"/>
    <cellStyle name="40% - Accent3 2 2 2" xfId="254"/>
    <cellStyle name="40% - Accent3 2 3" xfId="214"/>
    <cellStyle name="40% - Accent3 3" xfId="129"/>
    <cellStyle name="40% - Accent3 3 2" xfId="236"/>
    <cellStyle name="40% - Accent3 4" xfId="170"/>
    <cellStyle name="40% - Accent3 4 2" xfId="277"/>
    <cellStyle name="40% - Accent3 5" xfId="196"/>
    <cellStyle name="40% - Accent4" xfId="65" builtinId="43" customBuiltin="1"/>
    <cellStyle name="40% - Accent4 2" xfId="107"/>
    <cellStyle name="40% - Accent4 2 2" xfId="149"/>
    <cellStyle name="40% - Accent4 2 2 2" xfId="256"/>
    <cellStyle name="40% - Accent4 2 3" xfId="216"/>
    <cellStyle name="40% - Accent4 3" xfId="131"/>
    <cellStyle name="40% - Accent4 3 2" xfId="238"/>
    <cellStyle name="40% - Accent4 4" xfId="172"/>
    <cellStyle name="40% - Accent4 4 2" xfId="279"/>
    <cellStyle name="40% - Accent4 5" xfId="198"/>
    <cellStyle name="40% - Accent5" xfId="69" builtinId="47" customBuiltin="1"/>
    <cellStyle name="40% - Accent5 2" xfId="109"/>
    <cellStyle name="40% - Accent5 2 2" xfId="151"/>
    <cellStyle name="40% - Accent5 2 2 2" xfId="258"/>
    <cellStyle name="40% - Accent5 2 3" xfId="218"/>
    <cellStyle name="40% - Accent5 3" xfId="133"/>
    <cellStyle name="40% - Accent5 3 2" xfId="240"/>
    <cellStyle name="40% - Accent5 4" xfId="174"/>
    <cellStyle name="40% - Accent5 4 2" xfId="281"/>
    <cellStyle name="40% - Accent5 5" xfId="200"/>
    <cellStyle name="40% - Accent6" xfId="73" builtinId="51" customBuiltin="1"/>
    <cellStyle name="40% - Accent6 2" xfId="111"/>
    <cellStyle name="40% - Accent6 2 2" xfId="153"/>
    <cellStyle name="40% - Accent6 2 2 2" xfId="260"/>
    <cellStyle name="40% - Accent6 2 3" xfId="220"/>
    <cellStyle name="40% - Accent6 3" xfId="135"/>
    <cellStyle name="40% - Accent6 3 2" xfId="242"/>
    <cellStyle name="40% - Accent6 4" xfId="176"/>
    <cellStyle name="40% - Accent6 4 2" xfId="283"/>
    <cellStyle name="40% - Accent6 5" xfId="202"/>
    <cellStyle name="60% - Accent1" xfId="54" builtinId="32" customBuiltin="1"/>
    <cellStyle name="60% - Accent2" xfId="58" builtinId="36" customBuiltin="1"/>
    <cellStyle name="60% - Accent3" xfId="62" builtinId="40" customBuiltin="1"/>
    <cellStyle name="60% - Accent4" xfId="66" builtinId="44" customBuiltin="1"/>
    <cellStyle name="60% - Accent5" xfId="70" builtinId="48" customBuiltin="1"/>
    <cellStyle name="60% - Accent6" xfId="74" builtinId="52" customBuiltin="1"/>
    <cellStyle name="Accent1" xfId="51" builtinId="29" customBuiltin="1"/>
    <cellStyle name="Accent2" xfId="55" builtinId="33" customBuiltin="1"/>
    <cellStyle name="Accent3" xfId="59" builtinId="37" customBuiltin="1"/>
    <cellStyle name="Accent4" xfId="63" builtinId="41" customBuiltin="1"/>
    <cellStyle name="Accent5" xfId="67" builtinId="45" customBuiltin="1"/>
    <cellStyle name="Accent6" xfId="71" builtinId="49" customBuiltin="1"/>
    <cellStyle name="Bad" xfId="41" builtinId="27" customBuiltin="1"/>
    <cellStyle name="Calculation" xfId="45" builtinId="22" customBuiltin="1"/>
    <cellStyle name="Check Cell" xfId="47" builtinId="23" customBuiltin="1"/>
    <cellStyle name="Comma" xfId="1" builtinId="3"/>
    <cellStyle name="Comma 10" xfId="2"/>
    <cellStyle name="Comma 11" xfId="3"/>
    <cellStyle name="Comma 12" xfId="4"/>
    <cellStyle name="Comma 13" xfId="5"/>
    <cellStyle name="Comma 14" xfId="6"/>
    <cellStyle name="Comma 15" xfId="7"/>
    <cellStyle name="Comma 16" xfId="8"/>
    <cellStyle name="Comma 17" xfId="9"/>
    <cellStyle name="Comma 2" xfId="10"/>
    <cellStyle name="Comma 2 2" xfId="11"/>
    <cellStyle name="Comma 2 3" xfId="34"/>
    <cellStyle name="Comma 2 3 2" xfId="123"/>
    <cellStyle name="Comma 2 3 2 2" xfId="230"/>
    <cellStyle name="Comma 2 3 3" xfId="159"/>
    <cellStyle name="Comma 2 3 3 2" xfId="266"/>
    <cellStyle name="Comma 2 3 4" xfId="190"/>
    <cellStyle name="Comma 2 4" xfId="118"/>
    <cellStyle name="Comma 2 4 2" xfId="225"/>
    <cellStyle name="Comma 2 5" xfId="158"/>
    <cellStyle name="Comma 2 5 2" xfId="265"/>
    <cellStyle name="Comma 2 6" xfId="182"/>
    <cellStyle name="Comma 2 6 2" xfId="289"/>
    <cellStyle name="Comma 2 7" xfId="184"/>
    <cellStyle name="Comma 2 7 2" xfId="291"/>
    <cellStyle name="Comma 2 8" xfId="185"/>
    <cellStyle name="Comma 3" xfId="80"/>
    <cellStyle name="Comma 3 2" xfId="96"/>
    <cellStyle name="Comma 4" xfId="86"/>
    <cellStyle name="Comma 5" xfId="90"/>
    <cellStyle name="Comma 8" xfId="12"/>
    <cellStyle name="Comma 9" xfId="13"/>
    <cellStyle name="Currency" xfId="14" builtinId="4"/>
    <cellStyle name="Currency 10" xfId="15"/>
    <cellStyle name="Currency 11" xfId="16"/>
    <cellStyle name="Currency 12" xfId="17"/>
    <cellStyle name="Currency 13" xfId="18"/>
    <cellStyle name="Currency 14" xfId="19"/>
    <cellStyle name="Currency 15" xfId="20"/>
    <cellStyle name="Currency 16" xfId="21"/>
    <cellStyle name="Currency 17" xfId="22"/>
    <cellStyle name="Currency 2" xfId="23"/>
    <cellStyle name="Currency 2 2" xfId="82"/>
    <cellStyle name="Currency 2 3" xfId="76"/>
    <cellStyle name="Currency 2 4" xfId="119"/>
    <cellStyle name="Currency 2 4 2" xfId="226"/>
    <cellStyle name="Currency 2 5" xfId="160"/>
    <cellStyle name="Currency 2 5 2" xfId="267"/>
    <cellStyle name="Currency 2 6" xfId="186"/>
    <cellStyle name="Currency 3" xfId="81"/>
    <cellStyle name="Currency 3 2" xfId="97"/>
    <cellStyle name="Currency 4" xfId="91"/>
    <cellStyle name="Currency 5" xfId="75"/>
    <cellStyle name="Currency 8" xfId="24"/>
    <cellStyle name="Currency 9" xfId="25"/>
    <cellStyle name="Explanatory Text" xfId="49" builtinId="53" customBuiltin="1"/>
    <cellStyle name="Good" xfId="40"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3" builtinId="20" customBuiltin="1"/>
    <cellStyle name="Linked Cell" xfId="46" builtinId="24" customBuiltin="1"/>
    <cellStyle name="Neutral" xfId="42" builtinId="28" customBuiltin="1"/>
    <cellStyle name="Normal" xfId="0" builtinId="0"/>
    <cellStyle name="Normal 19" xfId="26"/>
    <cellStyle name="Normal 2" xfId="27"/>
    <cellStyle name="Normal 2 2" xfId="28"/>
    <cellStyle name="Normal 2 2 2" xfId="83"/>
    <cellStyle name="Normal 2 2 3" xfId="120"/>
    <cellStyle name="Normal 2 2 3 2" xfId="227"/>
    <cellStyle name="Normal 2 2 4" xfId="161"/>
    <cellStyle name="Normal 2 2 4 2" xfId="268"/>
    <cellStyle name="Normal 2 2 5" xfId="187"/>
    <cellStyle name="Normal 2 3" xfId="33"/>
    <cellStyle name="Normal 2 3 2" xfId="122"/>
    <cellStyle name="Normal 2 3 2 2" xfId="229"/>
    <cellStyle name="Normal 2 3 3" xfId="162"/>
    <cellStyle name="Normal 2 3 3 2" xfId="269"/>
    <cellStyle name="Normal 2 3 4" xfId="189"/>
    <cellStyle name="Normal 2 4" xfId="181"/>
    <cellStyle name="Normal 2 4 2" xfId="288"/>
    <cellStyle name="Normal 2 5" xfId="183"/>
    <cellStyle name="Normal 2 5 2" xfId="290"/>
    <cellStyle name="Normal 2_Available Fund Projects" xfId="116"/>
    <cellStyle name="Normal 3" xfId="29"/>
    <cellStyle name="Normal 3 2" xfId="30"/>
    <cellStyle name="Normal 3 2 2" xfId="95"/>
    <cellStyle name="Normal 3 3" xfId="79"/>
    <cellStyle name="Normal 3 4" xfId="121"/>
    <cellStyle name="Normal 3 4 2" xfId="228"/>
    <cellStyle name="Normal 3 5" xfId="163"/>
    <cellStyle name="Normal 3 5 2" xfId="270"/>
    <cellStyle name="Normal 3 6" xfId="188"/>
    <cellStyle name="Normal 3_Available Fund Projects" xfId="117"/>
    <cellStyle name="Normal 4" xfId="31"/>
    <cellStyle name="Normal 4 2" xfId="93"/>
    <cellStyle name="Normal 4 2 2" xfId="114"/>
    <cellStyle name="Normal 4 2 2 2" xfId="156"/>
    <cellStyle name="Normal 4 2 2 2 2" xfId="263"/>
    <cellStyle name="Normal 4 2 2 3" xfId="223"/>
    <cellStyle name="Normal 4 2 3" xfId="139"/>
    <cellStyle name="Normal 4 2 3 2" xfId="246"/>
    <cellStyle name="Normal 4 2 4" xfId="179"/>
    <cellStyle name="Normal 4 2 4 2" xfId="286"/>
    <cellStyle name="Normal 4 2 5" xfId="206"/>
    <cellStyle name="Normal 4 3" xfId="78"/>
    <cellStyle name="Normal 4 3 2" xfId="136"/>
    <cellStyle name="Normal 4 3 2 2" xfId="243"/>
    <cellStyle name="Normal 4 3 3" xfId="203"/>
    <cellStyle name="Normal 4 4" xfId="99"/>
    <cellStyle name="Normal 4 4 2" xfId="141"/>
    <cellStyle name="Normal 4 4 2 2" xfId="248"/>
    <cellStyle name="Normal 4 4 3" xfId="208"/>
    <cellStyle name="Normal 4 5" xfId="164"/>
    <cellStyle name="Normal 4 5 2" xfId="271"/>
    <cellStyle name="Normal 5" xfId="85"/>
    <cellStyle name="Normal 5 2" xfId="112"/>
    <cellStyle name="Normal 5 2 2" xfId="154"/>
    <cellStyle name="Normal 5 2 2 2" xfId="261"/>
    <cellStyle name="Normal 5 2 3" xfId="221"/>
    <cellStyle name="Normal 5 3" xfId="137"/>
    <cellStyle name="Normal 5 3 2" xfId="244"/>
    <cellStyle name="Normal 5 4" xfId="177"/>
    <cellStyle name="Normal 5 4 2" xfId="284"/>
    <cellStyle name="Normal 5 5" xfId="204"/>
    <cellStyle name="Normal 6" xfId="89"/>
    <cellStyle name="Normal 7" xfId="94"/>
    <cellStyle name="Normal 7 2" xfId="115"/>
    <cellStyle name="Normal 7 2 2" xfId="157"/>
    <cellStyle name="Normal 7 2 2 2" xfId="264"/>
    <cellStyle name="Normal 7 2 3" xfId="224"/>
    <cellStyle name="Normal 7 3" xfId="140"/>
    <cellStyle name="Normal 7 3 2" xfId="247"/>
    <cellStyle name="Normal 7 4" xfId="180"/>
    <cellStyle name="Normal 7 4 2" xfId="287"/>
    <cellStyle name="Normal 7 5" xfId="207"/>
    <cellStyle name="Note 2" xfId="88"/>
    <cellStyle name="Note 2 2" xfId="113"/>
    <cellStyle name="Note 2 2 2" xfId="155"/>
    <cellStyle name="Note 2 2 2 2" xfId="262"/>
    <cellStyle name="Note 2 2 3" xfId="222"/>
    <cellStyle name="Note 2 3" xfId="138"/>
    <cellStyle name="Note 2 3 2" xfId="245"/>
    <cellStyle name="Note 2 4" xfId="178"/>
    <cellStyle name="Note 2 4 2" xfId="285"/>
    <cellStyle name="Note 2 5" xfId="205"/>
    <cellStyle name="Output" xfId="44" builtinId="21" customBuiltin="1"/>
    <cellStyle name="Percent" xfId="32" builtinId="5"/>
    <cellStyle name="Percent 2" xfId="84"/>
    <cellStyle name="Percent 2 2" xfId="98"/>
    <cellStyle name="Percent 3" xfId="87"/>
    <cellStyle name="Percent 4" xfId="92"/>
    <cellStyle name="Percent 5" xfId="77"/>
    <cellStyle name="Title" xfId="35" builtinId="15" customBuiltin="1"/>
    <cellStyle name="Total" xfId="50" builtinId="25" customBuiltin="1"/>
    <cellStyle name="Warning Text" xfId="48" builtinId="11"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view="pageBreakPreview" zoomScale="40" zoomScaleNormal="80" zoomScaleSheetLayoutView="40" workbookViewId="0">
      <pane xSplit="1" ySplit="7" topLeftCell="B8" activePane="bottomRight" state="frozen"/>
      <selection activeCell="F10" sqref="F10"/>
      <selection pane="topRight" activeCell="F10" sqref="F10"/>
      <selection pane="bottomLeft" activeCell="F10" sqref="F10"/>
      <selection pane="bottomRight" activeCell="A8" sqref="A8:M39"/>
    </sheetView>
  </sheetViews>
  <sheetFormatPr defaultColWidth="8.85546875" defaultRowHeight="15" x14ac:dyDescent="0.3"/>
  <cols>
    <col min="1" max="1" width="63.5703125" style="62" customWidth="1"/>
    <col min="2" max="14" width="20" style="6" customWidth="1"/>
    <col min="15" max="15" width="14.28515625" style="6" bestFit="1" customWidth="1"/>
    <col min="16" max="16384" width="8.85546875" style="6"/>
  </cols>
  <sheetData>
    <row r="1" spans="1:15" x14ac:dyDescent="0.3">
      <c r="A1" s="10" t="s">
        <v>3</v>
      </c>
      <c r="B1" s="79"/>
      <c r="C1" s="78"/>
      <c r="D1" s="78"/>
      <c r="E1" s="78"/>
      <c r="F1" s="78"/>
      <c r="G1" s="78"/>
      <c r="H1" s="78"/>
      <c r="I1" s="78"/>
      <c r="J1" s="78"/>
      <c r="K1" s="78"/>
      <c r="L1" s="78"/>
      <c r="M1" s="78"/>
      <c r="N1" s="78"/>
    </row>
    <row r="2" spans="1:15" x14ac:dyDescent="0.3">
      <c r="A2" s="10" t="s">
        <v>130</v>
      </c>
      <c r="B2" s="79"/>
      <c r="C2" s="79"/>
      <c r="D2" s="78"/>
      <c r="E2" s="78"/>
      <c r="F2" s="78"/>
      <c r="G2" s="78"/>
      <c r="H2" s="78"/>
      <c r="I2" s="78"/>
      <c r="J2" s="78"/>
      <c r="K2" s="78"/>
      <c r="L2" s="78"/>
      <c r="M2" s="78"/>
      <c r="N2" s="78"/>
    </row>
    <row r="3" spans="1:15" x14ac:dyDescent="0.3">
      <c r="A3" s="10" t="s">
        <v>199</v>
      </c>
      <c r="B3" s="79"/>
      <c r="C3" s="78"/>
      <c r="D3" s="5"/>
      <c r="E3" s="78"/>
      <c r="F3" s="78"/>
      <c r="G3" s="78"/>
      <c r="H3" s="78"/>
      <c r="I3" s="78"/>
      <c r="J3" s="78"/>
      <c r="K3" s="78"/>
      <c r="L3" s="78"/>
      <c r="M3" s="78"/>
      <c r="N3" s="78"/>
    </row>
    <row r="4" spans="1:15" x14ac:dyDescent="0.3">
      <c r="A4" s="10"/>
      <c r="B4" s="78"/>
      <c r="C4" s="78"/>
      <c r="D4" s="78"/>
      <c r="E4" s="78"/>
      <c r="F4" s="78"/>
      <c r="G4" s="78"/>
      <c r="H4" s="78"/>
      <c r="I4" s="78"/>
      <c r="J4" s="78"/>
      <c r="K4" s="78"/>
      <c r="L4" s="78"/>
      <c r="M4" s="78"/>
      <c r="N4" s="78"/>
    </row>
    <row r="5" spans="1:15" ht="16.5" customHeight="1" x14ac:dyDescent="0.3">
      <c r="A5" s="16" t="s">
        <v>60</v>
      </c>
      <c r="B5" s="17"/>
      <c r="C5" s="17"/>
      <c r="D5" s="17"/>
      <c r="E5" s="17"/>
      <c r="F5" s="17"/>
      <c r="G5" s="17"/>
      <c r="H5" s="17"/>
      <c r="I5" s="17"/>
      <c r="J5" s="17"/>
      <c r="K5" s="17"/>
      <c r="L5" s="17"/>
      <c r="M5" s="17"/>
      <c r="N5" s="17"/>
    </row>
    <row r="6" spans="1:15" ht="16.5" customHeight="1" x14ac:dyDescent="0.3">
      <c r="A6" s="16"/>
      <c r="B6" s="19"/>
      <c r="C6" s="19"/>
      <c r="D6" s="19"/>
      <c r="E6" s="19"/>
      <c r="F6" s="19"/>
      <c r="G6" s="19"/>
      <c r="H6" s="19"/>
      <c r="I6" s="19"/>
      <c r="J6" s="19"/>
      <c r="K6" s="19"/>
      <c r="L6" s="19"/>
      <c r="M6" s="19"/>
      <c r="N6" s="19"/>
      <c r="O6" s="80"/>
    </row>
    <row r="7" spans="1:15" ht="16.5" customHeight="1" x14ac:dyDescent="0.3">
      <c r="A7" s="20"/>
      <c r="B7" s="202">
        <v>41275</v>
      </c>
      <c r="C7" s="202">
        <v>41306</v>
      </c>
      <c r="D7" s="202">
        <v>41334</v>
      </c>
      <c r="E7" s="202">
        <v>41365</v>
      </c>
      <c r="F7" s="202">
        <v>41395</v>
      </c>
      <c r="G7" s="202">
        <v>41426</v>
      </c>
      <c r="H7" s="202">
        <v>41456</v>
      </c>
      <c r="I7" s="202">
        <v>41487</v>
      </c>
      <c r="J7" s="202">
        <v>41518</v>
      </c>
      <c r="K7" s="202">
        <v>41548</v>
      </c>
      <c r="L7" s="202">
        <v>41579</v>
      </c>
      <c r="M7" s="202">
        <v>41609</v>
      </c>
      <c r="N7" s="21" t="s">
        <v>4</v>
      </c>
    </row>
    <row r="8" spans="1:15" ht="16.5" customHeight="1" x14ac:dyDescent="0.3">
      <c r="A8" s="16" t="s">
        <v>98</v>
      </c>
      <c r="B8" s="23">
        <v>201431.28</v>
      </c>
      <c r="C8" s="23">
        <v>207101.91</v>
      </c>
      <c r="D8" s="23">
        <v>205127.41</v>
      </c>
      <c r="E8" s="23">
        <v>208401.48</v>
      </c>
      <c r="F8" s="23">
        <v>208300.31</v>
      </c>
      <c r="G8" s="23">
        <v>209146.23999999999</v>
      </c>
      <c r="H8" s="23">
        <v>213234.91</v>
      </c>
      <c r="I8" s="23">
        <v>212416.12</v>
      </c>
      <c r="J8" s="23">
        <v>219648.73</v>
      </c>
      <c r="K8" s="23">
        <v>212515.92</v>
      </c>
      <c r="L8" s="23">
        <v>215598.06</v>
      </c>
      <c r="M8" s="23">
        <v>214435.57</v>
      </c>
      <c r="N8" s="23">
        <f>SUM(B8:M8)</f>
        <v>2527357.9399999995</v>
      </c>
      <c r="O8" s="68"/>
    </row>
    <row r="9" spans="1:15" ht="16.5" customHeight="1" x14ac:dyDescent="0.3">
      <c r="A9" s="20"/>
      <c r="N9" s="23"/>
      <c r="O9" s="80"/>
    </row>
    <row r="10" spans="1:15" ht="30" x14ac:dyDescent="0.3">
      <c r="A10" s="25" t="s">
        <v>102</v>
      </c>
      <c r="B10" s="23" t="s">
        <v>223</v>
      </c>
      <c r="C10" s="23" t="s">
        <v>223</v>
      </c>
      <c r="D10" s="23" t="s">
        <v>223</v>
      </c>
      <c r="E10" s="23">
        <v>37171.33</v>
      </c>
      <c r="F10" s="23">
        <v>35891.120000000003</v>
      </c>
      <c r="G10" s="23" t="s">
        <v>223</v>
      </c>
      <c r="H10" s="23" t="s">
        <v>223</v>
      </c>
      <c r="I10" s="23" t="s">
        <v>223</v>
      </c>
      <c r="J10" s="23" t="s">
        <v>223</v>
      </c>
      <c r="K10" s="23">
        <v>50533.23</v>
      </c>
      <c r="L10" s="23">
        <v>59442.71</v>
      </c>
      <c r="M10" s="23" t="s">
        <v>223</v>
      </c>
      <c r="N10" s="23">
        <f t="shared" ref="N10" si="0">SUM(B10:M10)</f>
        <v>183038.39</v>
      </c>
    </row>
    <row r="11" spans="1:15" x14ac:dyDescent="0.3">
      <c r="A11" s="25"/>
      <c r="B11" s="23"/>
      <c r="C11" s="23"/>
      <c r="D11" s="23"/>
      <c r="E11" s="23"/>
      <c r="F11" s="23"/>
      <c r="G11" s="23"/>
      <c r="H11" s="23"/>
      <c r="I11" s="23"/>
      <c r="J11" s="23"/>
      <c r="K11" s="23"/>
      <c r="L11" s="23"/>
      <c r="M11" s="23"/>
      <c r="N11" s="23"/>
    </row>
    <row r="12" spans="1:15" ht="16.5" customHeight="1" x14ac:dyDescent="0.3">
      <c r="A12" s="16" t="s">
        <v>126</v>
      </c>
      <c r="B12" s="23"/>
      <c r="C12" s="23"/>
      <c r="D12" s="23"/>
      <c r="E12" s="23"/>
      <c r="F12" s="23"/>
      <c r="G12" s="23"/>
      <c r="H12" s="23"/>
      <c r="I12" s="23"/>
      <c r="J12" s="23"/>
      <c r="K12" s="81"/>
      <c r="L12" s="81"/>
      <c r="M12" s="81"/>
      <c r="N12" s="28"/>
    </row>
    <row r="13" spans="1:15" ht="16.5" customHeight="1" x14ac:dyDescent="0.3">
      <c r="A13" s="20" t="s">
        <v>186</v>
      </c>
      <c r="B13" s="28">
        <v>29032.11</v>
      </c>
      <c r="C13" s="28">
        <v>28680.79</v>
      </c>
      <c r="D13" s="28">
        <v>35395.599999999999</v>
      </c>
      <c r="E13" s="28">
        <v>32326.82</v>
      </c>
      <c r="F13" s="28">
        <v>29548.91</v>
      </c>
      <c r="G13" s="28">
        <v>29959</v>
      </c>
      <c r="H13" s="28">
        <v>30346.86</v>
      </c>
      <c r="I13" s="28">
        <v>30077.9</v>
      </c>
      <c r="J13" s="28">
        <v>30395.96</v>
      </c>
      <c r="K13" s="28">
        <v>30130.84</v>
      </c>
      <c r="L13" s="28">
        <v>30086.48</v>
      </c>
      <c r="M13" s="28">
        <v>30630.87</v>
      </c>
      <c r="N13" s="23">
        <f t="shared" ref="N13:N20" si="1">SUM(B13:M13)</f>
        <v>366612.14</v>
      </c>
    </row>
    <row r="14" spans="1:15" ht="16.5" customHeight="1" x14ac:dyDescent="0.3">
      <c r="A14" s="20" t="s">
        <v>5</v>
      </c>
      <c r="B14" s="28">
        <v>1523.46</v>
      </c>
      <c r="C14" s="28">
        <v>1523.46</v>
      </c>
      <c r="D14" s="28">
        <v>1523.46</v>
      </c>
      <c r="E14" s="28">
        <v>1523.46</v>
      </c>
      <c r="F14" s="28">
        <v>14934.73</v>
      </c>
      <c r="G14" s="28">
        <v>2889.66</v>
      </c>
      <c r="H14" s="28">
        <v>1523.46</v>
      </c>
      <c r="I14" s="28">
        <v>1523.46</v>
      </c>
      <c r="J14" s="28">
        <v>1523.46</v>
      </c>
      <c r="K14" s="28">
        <v>1523.46</v>
      </c>
      <c r="L14" s="28">
        <v>9982.69</v>
      </c>
      <c r="M14" s="28">
        <v>3696.17</v>
      </c>
      <c r="N14" s="23">
        <f t="shared" si="1"/>
        <v>43690.929999999993</v>
      </c>
    </row>
    <row r="15" spans="1:15" ht="16.5" customHeight="1" x14ac:dyDescent="0.3">
      <c r="A15" s="20" t="s">
        <v>99</v>
      </c>
      <c r="B15" s="28">
        <v>10.55</v>
      </c>
      <c r="C15" s="28">
        <v>0</v>
      </c>
      <c r="D15" s="28">
        <v>0</v>
      </c>
      <c r="E15" s="28">
        <v>0</v>
      </c>
      <c r="F15" s="28">
        <v>0</v>
      </c>
      <c r="G15" s="28">
        <v>0</v>
      </c>
      <c r="H15" s="28">
        <v>0</v>
      </c>
      <c r="I15" s="28">
        <v>0</v>
      </c>
      <c r="J15" s="28">
        <v>0</v>
      </c>
      <c r="K15" s="28">
        <v>0</v>
      </c>
      <c r="L15" s="28">
        <v>0</v>
      </c>
      <c r="M15" s="28">
        <v>0</v>
      </c>
      <c r="N15" s="23">
        <f t="shared" si="1"/>
        <v>10.55</v>
      </c>
    </row>
    <row r="16" spans="1:15" ht="16.5" customHeight="1" x14ac:dyDescent="0.3">
      <c r="A16" s="20" t="s">
        <v>100</v>
      </c>
      <c r="B16" s="28">
        <v>5964.76</v>
      </c>
      <c r="C16" s="28">
        <v>5755.88</v>
      </c>
      <c r="D16" s="28">
        <v>6131.4</v>
      </c>
      <c r="E16" s="28">
        <v>5755.88</v>
      </c>
      <c r="F16" s="28">
        <v>6358.38</v>
      </c>
      <c r="G16" s="28">
        <v>5755.88</v>
      </c>
      <c r="H16" s="28">
        <v>5755.88</v>
      </c>
      <c r="I16" s="28">
        <v>5765.31</v>
      </c>
      <c r="J16" s="28">
        <v>5786.86</v>
      </c>
      <c r="K16" s="28">
        <v>5755.88</v>
      </c>
      <c r="L16" s="28">
        <v>5755.88</v>
      </c>
      <c r="M16" s="28">
        <v>5755.88</v>
      </c>
      <c r="N16" s="23">
        <f t="shared" si="1"/>
        <v>70297.87</v>
      </c>
    </row>
    <row r="17" spans="1:15" ht="16.5" customHeight="1" x14ac:dyDescent="0.3">
      <c r="A17" s="20" t="s">
        <v>8</v>
      </c>
      <c r="B17" s="28">
        <v>4204.7</v>
      </c>
      <c r="C17" s="28">
        <v>4172.74</v>
      </c>
      <c r="D17" s="28">
        <v>4787.21</v>
      </c>
      <c r="E17" s="28">
        <v>5091.22</v>
      </c>
      <c r="F17" s="28">
        <v>4396.46</v>
      </c>
      <c r="G17" s="28">
        <v>4778.72</v>
      </c>
      <c r="H17" s="28">
        <v>5327.34</v>
      </c>
      <c r="I17" s="28">
        <v>4516.7700000000004</v>
      </c>
      <c r="J17" s="28">
        <v>4268.63</v>
      </c>
      <c r="K17" s="28">
        <v>5308.82</v>
      </c>
      <c r="L17" s="28">
        <v>5476.67</v>
      </c>
      <c r="M17" s="28">
        <v>4337.88</v>
      </c>
      <c r="N17" s="23">
        <f t="shared" si="1"/>
        <v>56667.159999999996</v>
      </c>
    </row>
    <row r="18" spans="1:15" ht="16.5" customHeight="1" x14ac:dyDescent="0.3">
      <c r="A18" s="20" t="s">
        <v>101</v>
      </c>
      <c r="B18" s="28" t="s">
        <v>223</v>
      </c>
      <c r="C18" s="28">
        <v>0</v>
      </c>
      <c r="D18" s="28">
        <v>0</v>
      </c>
      <c r="E18" s="28">
        <v>0</v>
      </c>
      <c r="F18" s="28">
        <v>0</v>
      </c>
      <c r="G18" s="28">
        <v>0</v>
      </c>
      <c r="H18" s="28">
        <v>0</v>
      </c>
      <c r="I18" s="28">
        <v>0</v>
      </c>
      <c r="J18" s="28">
        <v>0</v>
      </c>
      <c r="K18" s="28">
        <v>0</v>
      </c>
      <c r="L18" s="28">
        <v>9967.25</v>
      </c>
      <c r="M18" s="28">
        <v>9612.5</v>
      </c>
      <c r="N18" s="23">
        <f t="shared" si="1"/>
        <v>19579.75</v>
      </c>
    </row>
    <row r="19" spans="1:15" ht="16.5" customHeight="1" x14ac:dyDescent="0.3">
      <c r="A19" s="20" t="s">
        <v>66</v>
      </c>
      <c r="B19" s="28">
        <v>3219.69</v>
      </c>
      <c r="C19" s="28">
        <v>5987.47</v>
      </c>
      <c r="D19" s="28">
        <v>6133.78</v>
      </c>
      <c r="E19" s="28">
        <v>7506.37</v>
      </c>
      <c r="F19" s="28">
        <v>8742.4500000000007</v>
      </c>
      <c r="G19" s="28">
        <v>8692.34</v>
      </c>
      <c r="H19" s="28">
        <v>8075.94</v>
      </c>
      <c r="I19" s="28">
        <v>11342.29</v>
      </c>
      <c r="J19" s="28">
        <v>6866.12</v>
      </c>
      <c r="K19" s="28">
        <v>29654.74</v>
      </c>
      <c r="L19" s="28">
        <v>7411.97</v>
      </c>
      <c r="M19" s="28">
        <v>13864.49</v>
      </c>
      <c r="N19" s="23">
        <f t="shared" si="1"/>
        <v>117497.65000000001</v>
      </c>
    </row>
    <row r="20" spans="1:15" ht="16.5" customHeight="1" x14ac:dyDescent="0.3">
      <c r="A20" s="20" t="s">
        <v>10</v>
      </c>
      <c r="B20" s="28">
        <v>4424.2</v>
      </c>
      <c r="C20" s="28">
        <v>1757.83</v>
      </c>
      <c r="D20" s="28">
        <v>6466.37</v>
      </c>
      <c r="E20" s="28">
        <v>8263.94</v>
      </c>
      <c r="F20" s="28">
        <v>6665.62</v>
      </c>
      <c r="G20" s="28">
        <v>7234.53</v>
      </c>
      <c r="H20" s="28">
        <v>3543.19</v>
      </c>
      <c r="I20" s="28">
        <v>5289.38</v>
      </c>
      <c r="J20" s="28">
        <v>5811.42</v>
      </c>
      <c r="K20" s="28">
        <v>9245.5300000000007</v>
      </c>
      <c r="L20" s="28">
        <v>6431.24</v>
      </c>
      <c r="M20" s="28">
        <v>5341.89</v>
      </c>
      <c r="N20" s="23">
        <f t="shared" si="1"/>
        <v>70475.14</v>
      </c>
      <c r="O20" s="68"/>
    </row>
    <row r="21" spans="1:15" ht="30" x14ac:dyDescent="0.3">
      <c r="A21" s="25" t="s">
        <v>111</v>
      </c>
      <c r="B21" s="28">
        <f>SUM(B10:B20)</f>
        <v>48379.469999999994</v>
      </c>
      <c r="C21" s="28">
        <f t="shared" ref="C21:N21" si="2">SUM(C10:C20)</f>
        <v>47878.17</v>
      </c>
      <c r="D21" s="28">
        <f t="shared" si="2"/>
        <v>60437.82</v>
      </c>
      <c r="E21" s="28">
        <f t="shared" si="2"/>
        <v>97639.02</v>
      </c>
      <c r="F21" s="28">
        <f>SUM(F10:F20)</f>
        <v>106537.67</v>
      </c>
      <c r="G21" s="28">
        <f t="shared" si="2"/>
        <v>59310.130000000005</v>
      </c>
      <c r="H21" s="28">
        <f t="shared" si="2"/>
        <v>54572.67</v>
      </c>
      <c r="I21" s="28">
        <f t="shared" si="2"/>
        <v>58515.11</v>
      </c>
      <c r="J21" s="28">
        <f t="shared" si="2"/>
        <v>54652.45</v>
      </c>
      <c r="K21" s="28">
        <f t="shared" si="2"/>
        <v>132152.50000000003</v>
      </c>
      <c r="L21" s="28">
        <f>SUM(L10:L20)</f>
        <v>134554.89000000001</v>
      </c>
      <c r="M21" s="28">
        <f t="shared" si="2"/>
        <v>73239.679999999993</v>
      </c>
      <c r="N21" s="28">
        <f t="shared" si="2"/>
        <v>927869.58000000007</v>
      </c>
      <c r="O21" s="82" t="s">
        <v>132</v>
      </c>
    </row>
    <row r="22" spans="1:15" ht="16.5" customHeight="1" x14ac:dyDescent="0.3">
      <c r="A22" s="20"/>
      <c r="B22" s="23"/>
      <c r="C22" s="23" t="s">
        <v>291</v>
      </c>
      <c r="D22" s="23"/>
      <c r="E22" s="23"/>
      <c r="F22" s="23"/>
      <c r="G22" s="23"/>
      <c r="H22" s="23"/>
      <c r="I22" s="23"/>
      <c r="J22" s="23"/>
      <c r="K22" s="23"/>
      <c r="L22" s="23"/>
      <c r="M22" s="23"/>
      <c r="N22" s="23"/>
    </row>
    <row r="23" spans="1:15" ht="16.5" customHeight="1" x14ac:dyDescent="0.3">
      <c r="A23" s="16" t="s">
        <v>11</v>
      </c>
      <c r="B23" s="23">
        <f>B8-B21</f>
        <v>153051.81</v>
      </c>
      <c r="C23" s="23">
        <f t="shared" ref="C23:N23" si="3">C8-C21</f>
        <v>159223.74</v>
      </c>
      <c r="D23" s="23">
        <f t="shared" si="3"/>
        <v>144689.59</v>
      </c>
      <c r="E23" s="23">
        <f t="shared" si="3"/>
        <v>110762.46</v>
      </c>
      <c r="F23" s="23">
        <f t="shared" si="3"/>
        <v>101762.64</v>
      </c>
      <c r="G23" s="23">
        <f t="shared" si="3"/>
        <v>149836.10999999999</v>
      </c>
      <c r="H23" s="23">
        <f t="shared" si="3"/>
        <v>158662.24</v>
      </c>
      <c r="I23" s="23">
        <f t="shared" si="3"/>
        <v>153901.01</v>
      </c>
      <c r="J23" s="23">
        <f t="shared" si="3"/>
        <v>164996.28000000003</v>
      </c>
      <c r="K23" s="23">
        <f t="shared" si="3"/>
        <v>80363.419999999984</v>
      </c>
      <c r="L23" s="23">
        <f t="shared" si="3"/>
        <v>81043.169999999984</v>
      </c>
      <c r="M23" s="23">
        <f t="shared" si="3"/>
        <v>141195.89000000001</v>
      </c>
      <c r="N23" s="23">
        <f t="shared" si="3"/>
        <v>1599488.3599999994</v>
      </c>
      <c r="O23" s="3"/>
    </row>
    <row r="24" spans="1:15" ht="16.5" customHeight="1" x14ac:dyDescent="0.3">
      <c r="A24" s="20" t="s">
        <v>12</v>
      </c>
      <c r="B24" s="23">
        <v>17750.41</v>
      </c>
      <c r="C24" s="23">
        <v>18684.02</v>
      </c>
      <c r="D24" s="23">
        <v>19735.03</v>
      </c>
      <c r="E24" s="23">
        <v>20102.78</v>
      </c>
      <c r="F24" s="23">
        <v>19779.55</v>
      </c>
      <c r="G24" s="23">
        <v>19569.060000000001</v>
      </c>
      <c r="H24" s="23">
        <v>20136.259999999998</v>
      </c>
      <c r="I24" s="23">
        <v>21107.02</v>
      </c>
      <c r="J24" s="203">
        <v>21875.53</v>
      </c>
      <c r="K24" s="203">
        <v>20986.81</v>
      </c>
      <c r="L24" s="203">
        <v>19892.39</v>
      </c>
      <c r="M24" s="203">
        <v>19372.64</v>
      </c>
      <c r="N24" s="23">
        <f t="shared" ref="N24" si="4">SUM(B24:M24)</f>
        <v>238991.5</v>
      </c>
      <c r="O24" s="3"/>
    </row>
    <row r="25" spans="1:15" ht="16.5" customHeight="1" x14ac:dyDescent="0.3">
      <c r="A25" s="16" t="s">
        <v>13</v>
      </c>
      <c r="B25" s="23">
        <f>B23+B24</f>
        <v>170802.22</v>
      </c>
      <c r="C25" s="23">
        <f t="shared" ref="C25:N25" si="5">C23+C24</f>
        <v>177907.75999999998</v>
      </c>
      <c r="D25" s="23">
        <f t="shared" si="5"/>
        <v>164424.62</v>
      </c>
      <c r="E25" s="23">
        <f t="shared" si="5"/>
        <v>130865.24</v>
      </c>
      <c r="F25" s="23">
        <f t="shared" si="5"/>
        <v>121542.19</v>
      </c>
      <c r="G25" s="23">
        <f t="shared" si="5"/>
        <v>169405.16999999998</v>
      </c>
      <c r="H25" s="23">
        <f t="shared" si="5"/>
        <v>178798.5</v>
      </c>
      <c r="I25" s="23">
        <f t="shared" si="5"/>
        <v>175008.03</v>
      </c>
      <c r="J25" s="23">
        <f t="shared" si="5"/>
        <v>186871.81000000003</v>
      </c>
      <c r="K25" s="23">
        <f t="shared" si="5"/>
        <v>101350.22999999998</v>
      </c>
      <c r="L25" s="23">
        <f t="shared" si="5"/>
        <v>100935.55999999998</v>
      </c>
      <c r="M25" s="23">
        <f t="shared" si="5"/>
        <v>160568.53000000003</v>
      </c>
      <c r="N25" s="23">
        <f t="shared" si="5"/>
        <v>1838479.8599999994</v>
      </c>
      <c r="O25" s="3"/>
    </row>
    <row r="26" spans="1:15" ht="12.75" customHeight="1" x14ac:dyDescent="0.3">
      <c r="A26" s="10"/>
      <c r="B26" s="32"/>
      <c r="C26" s="32"/>
      <c r="D26" s="32"/>
      <c r="E26" s="32"/>
      <c r="F26" s="32"/>
      <c r="G26" s="32"/>
      <c r="H26" s="32"/>
      <c r="I26" s="32"/>
      <c r="J26" s="32"/>
      <c r="K26" s="32"/>
      <c r="L26" s="32"/>
      <c r="M26" s="32"/>
      <c r="N26" s="33"/>
      <c r="O26" s="3"/>
    </row>
    <row r="27" spans="1:15" ht="12.75" customHeight="1" x14ac:dyDescent="0.3">
      <c r="A27" s="10"/>
      <c r="B27" s="32"/>
      <c r="C27" s="32"/>
      <c r="D27" s="32"/>
      <c r="E27" s="32"/>
      <c r="F27" s="32"/>
      <c r="G27" s="32"/>
      <c r="H27" s="32"/>
      <c r="I27" s="32"/>
      <c r="J27" s="32"/>
      <c r="K27" s="32"/>
      <c r="L27" s="32"/>
      <c r="M27" s="32"/>
      <c r="N27" s="33"/>
      <c r="O27" s="3"/>
    </row>
    <row r="28" spans="1:15" ht="16.5" customHeight="1" x14ac:dyDescent="0.3">
      <c r="A28" s="16" t="s">
        <v>63</v>
      </c>
      <c r="B28" s="23"/>
      <c r="C28" s="23"/>
      <c r="D28" s="17"/>
      <c r="E28" s="17"/>
      <c r="F28" s="17"/>
      <c r="G28" s="17"/>
      <c r="H28" s="17"/>
      <c r="I28" s="17"/>
      <c r="J28" s="17"/>
      <c r="K28" s="17"/>
      <c r="L28" s="17"/>
      <c r="M28" s="17"/>
      <c r="N28" s="17"/>
    </row>
    <row r="29" spans="1:15" ht="16.5" customHeight="1" x14ac:dyDescent="0.3">
      <c r="A29" s="20"/>
      <c r="B29" s="202">
        <v>41275</v>
      </c>
      <c r="C29" s="202">
        <v>41306</v>
      </c>
      <c r="D29" s="202">
        <v>41334</v>
      </c>
      <c r="E29" s="202">
        <v>41365</v>
      </c>
      <c r="F29" s="202">
        <v>41395</v>
      </c>
      <c r="G29" s="202">
        <v>41426</v>
      </c>
      <c r="H29" s="202">
        <v>41456</v>
      </c>
      <c r="I29" s="202">
        <v>41487</v>
      </c>
      <c r="J29" s="202">
        <v>41518</v>
      </c>
      <c r="K29" s="202">
        <v>41548</v>
      </c>
      <c r="L29" s="202">
        <v>41579</v>
      </c>
      <c r="M29" s="202">
        <v>41609</v>
      </c>
      <c r="N29" s="21" t="s">
        <v>4</v>
      </c>
    </row>
    <row r="30" spans="1:15" ht="16.5" customHeight="1" x14ac:dyDescent="0.3">
      <c r="A30" s="20" t="s">
        <v>103</v>
      </c>
      <c r="B30" s="46">
        <v>36245</v>
      </c>
      <c r="C30" s="46">
        <v>36408</v>
      </c>
      <c r="D30" s="46">
        <v>36645</v>
      </c>
      <c r="E30" s="46">
        <v>36904</v>
      </c>
      <c r="F30" s="46">
        <v>37413</v>
      </c>
      <c r="G30" s="46">
        <v>37546</v>
      </c>
      <c r="H30" s="46">
        <v>37756</v>
      </c>
      <c r="I30" s="46">
        <v>37906</v>
      </c>
      <c r="J30" s="46">
        <v>38048</v>
      </c>
      <c r="K30" s="46">
        <v>38319</v>
      </c>
      <c r="L30" s="46">
        <v>38453</v>
      </c>
      <c r="M30" s="46">
        <v>38502</v>
      </c>
      <c r="N30" s="83"/>
    </row>
    <row r="31" spans="1:15" ht="16.5" customHeight="1" x14ac:dyDescent="0.3">
      <c r="A31" s="20" t="s">
        <v>104</v>
      </c>
      <c r="B31" s="56">
        <v>121724</v>
      </c>
      <c r="C31" s="56">
        <v>129700</v>
      </c>
      <c r="D31" s="56">
        <v>126009</v>
      </c>
      <c r="E31" s="205">
        <v>122870</v>
      </c>
      <c r="F31" s="89">
        <v>128455</v>
      </c>
      <c r="G31" s="89">
        <v>127652</v>
      </c>
      <c r="H31" s="205">
        <v>131080</v>
      </c>
      <c r="I31" s="89">
        <v>129579</v>
      </c>
      <c r="J31" s="205">
        <v>134045</v>
      </c>
      <c r="K31" s="89">
        <v>129916</v>
      </c>
      <c r="L31" s="89">
        <v>132944</v>
      </c>
      <c r="M31" s="206">
        <v>130782</v>
      </c>
      <c r="N31" s="83">
        <f>SUM(B31:M31)</f>
        <v>1544756</v>
      </c>
      <c r="O31" s="84"/>
    </row>
    <row r="32" spans="1:15" ht="16.5" customHeight="1" x14ac:dyDescent="0.3">
      <c r="A32" s="20" t="s">
        <v>105</v>
      </c>
      <c r="B32" s="46">
        <f>(B31*100)/1000</f>
        <v>12172.4</v>
      </c>
      <c r="C32" s="46">
        <f t="shared" ref="C32:M32" si="6">(C31*100)/1000</f>
        <v>12970</v>
      </c>
      <c r="D32" s="46">
        <f t="shared" si="6"/>
        <v>12600.9</v>
      </c>
      <c r="E32" s="46">
        <f t="shared" si="6"/>
        <v>12287</v>
      </c>
      <c r="F32" s="46">
        <f t="shared" si="6"/>
        <v>12845.5</v>
      </c>
      <c r="G32" s="46">
        <f t="shared" si="6"/>
        <v>12765.2</v>
      </c>
      <c r="H32" s="46">
        <f t="shared" si="6"/>
        <v>13108</v>
      </c>
      <c r="I32" s="46">
        <f t="shared" si="6"/>
        <v>12957.9</v>
      </c>
      <c r="J32" s="46">
        <f t="shared" si="6"/>
        <v>13404.5</v>
      </c>
      <c r="K32" s="46">
        <f t="shared" si="6"/>
        <v>12991.6</v>
      </c>
      <c r="L32" s="46">
        <f t="shared" si="6"/>
        <v>13294.4</v>
      </c>
      <c r="M32" s="46">
        <f t="shared" si="6"/>
        <v>13078.2</v>
      </c>
      <c r="N32" s="83">
        <f>SUM(B32:M32)</f>
        <v>154475.6</v>
      </c>
      <c r="O32" s="84"/>
    </row>
    <row r="33" spans="1:17" ht="30" x14ac:dyDescent="0.3">
      <c r="A33" s="85" t="s">
        <v>109</v>
      </c>
      <c r="B33" s="56">
        <v>0</v>
      </c>
      <c r="C33" s="56">
        <v>0</v>
      </c>
      <c r="D33" s="56">
        <v>0</v>
      </c>
      <c r="E33" s="56">
        <v>30150.13</v>
      </c>
      <c r="F33" s="56">
        <v>36784.65</v>
      </c>
      <c r="G33" s="56">
        <v>0</v>
      </c>
      <c r="H33" s="56">
        <v>0</v>
      </c>
      <c r="I33" s="56">
        <v>0</v>
      </c>
      <c r="J33" s="56">
        <v>0</v>
      </c>
      <c r="K33" s="56">
        <v>42410.36</v>
      </c>
      <c r="L33" s="56">
        <v>56580.92</v>
      </c>
      <c r="M33" s="56">
        <v>0</v>
      </c>
      <c r="N33" s="83">
        <f>SUM(B33:M33)</f>
        <v>165926.06</v>
      </c>
      <c r="O33" s="86"/>
    </row>
    <row r="34" spans="1:17" ht="30" x14ac:dyDescent="0.3">
      <c r="A34" s="25" t="s">
        <v>110</v>
      </c>
      <c r="B34" s="83">
        <f>B33-B32</f>
        <v>-12172.4</v>
      </c>
      <c r="C34" s="83">
        <f t="shared" ref="C34:N34" si="7">C33-C32</f>
        <v>-12970</v>
      </c>
      <c r="D34" s="83">
        <f t="shared" si="7"/>
        <v>-12600.9</v>
      </c>
      <c r="E34" s="83">
        <f t="shared" si="7"/>
        <v>17863.13</v>
      </c>
      <c r="F34" s="83">
        <f t="shared" si="7"/>
        <v>23939.15</v>
      </c>
      <c r="G34" s="83">
        <f t="shared" si="7"/>
        <v>-12765.2</v>
      </c>
      <c r="H34" s="83">
        <f t="shared" si="7"/>
        <v>-13108</v>
      </c>
      <c r="I34" s="83">
        <f t="shared" si="7"/>
        <v>-12957.9</v>
      </c>
      <c r="J34" s="83">
        <f t="shared" si="7"/>
        <v>-13404.5</v>
      </c>
      <c r="K34" s="83">
        <f t="shared" si="7"/>
        <v>29418.760000000002</v>
      </c>
      <c r="L34" s="83">
        <f t="shared" si="7"/>
        <v>43286.52</v>
      </c>
      <c r="M34" s="83">
        <f t="shared" si="7"/>
        <v>-13078.2</v>
      </c>
      <c r="N34" s="83">
        <f t="shared" si="7"/>
        <v>11450.459999999992</v>
      </c>
      <c r="O34" s="87"/>
    </row>
    <row r="35" spans="1:17" ht="16.5" customHeight="1" x14ac:dyDescent="0.3">
      <c r="A35" s="41"/>
      <c r="N35" s="44"/>
    </row>
    <row r="36" spans="1:17" ht="16.5" customHeight="1" x14ac:dyDescent="0.3">
      <c r="A36" s="16"/>
      <c r="B36" s="21" t="s">
        <v>14</v>
      </c>
      <c r="C36" s="21" t="s">
        <v>15</v>
      </c>
      <c r="D36" s="21" t="s">
        <v>16</v>
      </c>
      <c r="E36" s="21" t="s">
        <v>17</v>
      </c>
      <c r="F36" s="21" t="s">
        <v>18</v>
      </c>
      <c r="G36" s="21"/>
    </row>
    <row r="37" spans="1:17" ht="16.5" customHeight="1" x14ac:dyDescent="0.3">
      <c r="A37" s="16"/>
      <c r="B37" s="21" t="s">
        <v>19</v>
      </c>
      <c r="C37" s="21" t="s">
        <v>19</v>
      </c>
      <c r="D37" s="21" t="s">
        <v>20</v>
      </c>
      <c r="E37" s="21" t="s">
        <v>21</v>
      </c>
      <c r="F37" s="21" t="s">
        <v>21</v>
      </c>
      <c r="G37" s="21" t="s">
        <v>16</v>
      </c>
    </row>
    <row r="38" spans="1:17" ht="16.5" customHeight="1" x14ac:dyDescent="0.3">
      <c r="A38" s="16" t="s">
        <v>22</v>
      </c>
      <c r="B38" s="21" t="s">
        <v>25</v>
      </c>
      <c r="C38" s="21" t="s">
        <v>25</v>
      </c>
      <c r="D38" s="21" t="s">
        <v>26</v>
      </c>
      <c r="E38" s="21" t="s">
        <v>27</v>
      </c>
      <c r="F38" s="21" t="s">
        <v>27</v>
      </c>
      <c r="G38" s="21" t="s">
        <v>27</v>
      </c>
      <c r="K38" s="45"/>
    </row>
    <row r="39" spans="1:17" ht="16.5" customHeight="1" x14ac:dyDescent="0.3">
      <c r="A39" s="20" t="s">
        <v>28</v>
      </c>
      <c r="B39" s="207">
        <f>101094982/100</f>
        <v>1010949.82</v>
      </c>
      <c r="C39" s="207">
        <f>53380622/100</f>
        <v>533806.22</v>
      </c>
      <c r="D39" s="207">
        <f>N31</f>
        <v>1544756</v>
      </c>
      <c r="E39" s="46">
        <f>(D39*100)/1000</f>
        <v>154475.6</v>
      </c>
      <c r="F39" s="46"/>
      <c r="G39" s="46">
        <f>E39</f>
        <v>154475.6</v>
      </c>
    </row>
    <row r="40" spans="1:17" x14ac:dyDescent="0.3">
      <c r="A40" s="5"/>
      <c r="B40" s="45"/>
      <c r="D40" s="45"/>
    </row>
    <row r="41" spans="1:17" x14ac:dyDescent="0.3">
      <c r="A41" s="5"/>
      <c r="B41" s="189"/>
      <c r="C41" s="59"/>
      <c r="D41" s="59"/>
      <c r="E41" s="60"/>
      <c r="F41" s="8"/>
      <c r="G41" s="89"/>
      <c r="H41" s="90"/>
      <c r="I41" s="8"/>
      <c r="J41" s="88"/>
      <c r="K41" s="91"/>
      <c r="L41" s="8"/>
    </row>
    <row r="42" spans="1:17" x14ac:dyDescent="0.3">
      <c r="A42" s="53" t="s">
        <v>57</v>
      </c>
      <c r="B42" s="9"/>
      <c r="C42" s="9"/>
      <c r="D42" s="92"/>
      <c r="E42" s="308"/>
      <c r="F42" s="49"/>
      <c r="H42" s="49"/>
    </row>
    <row r="43" spans="1:17" ht="15.75" x14ac:dyDescent="0.35">
      <c r="A43" s="9" t="s">
        <v>106</v>
      </c>
      <c r="F43" s="309"/>
      <c r="G43" s="309"/>
      <c r="H43" s="309"/>
      <c r="I43" s="309"/>
      <c r="J43" s="309"/>
      <c r="K43" s="309"/>
      <c r="L43" s="309"/>
      <c r="M43" s="309"/>
      <c r="N43" s="309"/>
      <c r="O43" s="309"/>
      <c r="P43" s="93"/>
      <c r="Q43" s="93"/>
    </row>
    <row r="44" spans="1:17" ht="15.75" x14ac:dyDescent="0.35">
      <c r="A44" s="55" t="s">
        <v>107</v>
      </c>
      <c r="F44" s="309"/>
      <c r="G44" s="309"/>
      <c r="H44" s="309"/>
      <c r="I44" s="309"/>
      <c r="J44" s="309"/>
      <c r="K44" s="309"/>
      <c r="L44" s="309"/>
      <c r="M44" s="309"/>
      <c r="N44" s="309"/>
      <c r="O44" s="309"/>
      <c r="P44" s="93"/>
      <c r="Q44" s="93"/>
    </row>
    <row r="45" spans="1:17" x14ac:dyDescent="0.3">
      <c r="A45" s="9" t="s">
        <v>108</v>
      </c>
      <c r="G45" s="50"/>
    </row>
    <row r="46" spans="1:17" x14ac:dyDescent="0.3">
      <c r="A46" s="6"/>
      <c r="F46" s="59"/>
      <c r="H46" s="60"/>
      <c r="I46" s="61"/>
    </row>
    <row r="47" spans="1:17" x14ac:dyDescent="0.3">
      <c r="A47" s="167" t="s">
        <v>95</v>
      </c>
      <c r="B47" s="167"/>
    </row>
    <row r="48" spans="1:17" x14ac:dyDescent="0.3">
      <c r="A48" s="167"/>
      <c r="B48" s="167"/>
    </row>
    <row r="49" spans="1:2" ht="315" x14ac:dyDescent="0.3">
      <c r="A49" s="168" t="s">
        <v>5</v>
      </c>
      <c r="B49" s="168" t="s">
        <v>304</v>
      </c>
    </row>
    <row r="50" spans="1:2" ht="315" x14ac:dyDescent="0.3">
      <c r="A50" s="168" t="s">
        <v>188</v>
      </c>
      <c r="B50" s="168" t="s">
        <v>192</v>
      </c>
    </row>
    <row r="51" spans="1:2" ht="90" x14ac:dyDescent="0.3">
      <c r="A51" s="168" t="s">
        <v>6</v>
      </c>
      <c r="B51" s="168" t="s">
        <v>72</v>
      </c>
    </row>
    <row r="52" spans="1:2" ht="90" x14ac:dyDescent="0.3">
      <c r="A52" s="168" t="s">
        <v>7</v>
      </c>
      <c r="B52" s="168" t="s">
        <v>73</v>
      </c>
    </row>
    <row r="53" spans="1:2" ht="60" x14ac:dyDescent="0.3">
      <c r="A53" s="168" t="s">
        <v>8</v>
      </c>
      <c r="B53" s="168" t="s">
        <v>74</v>
      </c>
    </row>
    <row r="54" spans="1:2" ht="150" x14ac:dyDescent="0.3">
      <c r="A54" s="168" t="s">
        <v>9</v>
      </c>
      <c r="B54" s="168" t="s">
        <v>256</v>
      </c>
    </row>
    <row r="55" spans="1:2" ht="45" x14ac:dyDescent="0.3">
      <c r="A55" s="168" t="s">
        <v>66</v>
      </c>
      <c r="B55" s="168" t="s">
        <v>75</v>
      </c>
    </row>
    <row r="56" spans="1:2" ht="45" x14ac:dyDescent="0.3">
      <c r="A56" s="168" t="s">
        <v>10</v>
      </c>
      <c r="B56" s="168" t="s">
        <v>76</v>
      </c>
    </row>
  </sheetData>
  <phoneticPr fontId="11" type="noConversion"/>
  <pageMargins left="0.5" right="0.5" top="0.75" bottom="0.75" header="0.5" footer="0.5"/>
  <pageSetup scale="40"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view="pageBreakPreview" zoomScale="60" zoomScaleNormal="100" workbookViewId="0">
      <pane xSplit="1" ySplit="7" topLeftCell="E19" activePane="bottomRight" state="frozen"/>
      <selection activeCell="F10" sqref="F10"/>
      <selection pane="topRight" activeCell="F10" sqref="F10"/>
      <selection pane="bottomLeft" activeCell="F10" sqref="F10"/>
      <selection pane="bottomRight" activeCell="F10" sqref="F10"/>
    </sheetView>
  </sheetViews>
  <sheetFormatPr defaultColWidth="8.85546875" defaultRowHeight="15" x14ac:dyDescent="0.3"/>
  <cols>
    <col min="1" max="1" width="78" style="62" customWidth="1"/>
    <col min="2" max="14" width="20" style="14" customWidth="1"/>
    <col min="15" max="15" width="14.28515625" style="14" customWidth="1"/>
    <col min="16" max="16384" width="8.85546875" style="14"/>
  </cols>
  <sheetData>
    <row r="1" spans="1:15" ht="20.100000000000001" customHeight="1" x14ac:dyDescent="0.4">
      <c r="A1" s="10" t="s">
        <v>3</v>
      </c>
      <c r="B1" s="11"/>
      <c r="C1" s="11"/>
      <c r="D1" s="11"/>
      <c r="E1" s="11"/>
      <c r="F1" s="12"/>
      <c r="G1" s="13"/>
      <c r="H1" s="13"/>
      <c r="I1" s="11"/>
      <c r="J1" s="11"/>
      <c r="K1" s="11"/>
      <c r="L1" s="11"/>
      <c r="M1" s="11"/>
      <c r="N1" s="11"/>
    </row>
    <row r="2" spans="1:15" ht="39.950000000000003" customHeight="1" x14ac:dyDescent="0.4">
      <c r="A2" s="15" t="s">
        <v>191</v>
      </c>
      <c r="B2" s="10"/>
      <c r="C2" s="10"/>
      <c r="F2" s="5"/>
      <c r="G2" s="13"/>
      <c r="H2" s="13"/>
      <c r="I2" s="13"/>
      <c r="J2" s="13"/>
      <c r="K2" s="13"/>
      <c r="L2" s="13"/>
      <c r="M2" s="13"/>
      <c r="N2" s="13"/>
    </row>
    <row r="3" spans="1:15" ht="15" customHeight="1" x14ac:dyDescent="0.4">
      <c r="A3" s="10" t="s">
        <v>204</v>
      </c>
      <c r="B3" s="13"/>
      <c r="C3" s="13"/>
      <c r="D3" s="13"/>
      <c r="E3" s="13"/>
      <c r="F3" s="13"/>
      <c r="G3" s="13"/>
      <c r="H3" s="13"/>
      <c r="I3" s="13"/>
      <c r="J3" s="13"/>
      <c r="K3" s="13"/>
      <c r="L3" s="13"/>
      <c r="M3" s="13"/>
      <c r="N3" s="13"/>
    </row>
    <row r="4" spans="1:15" ht="12" customHeight="1" x14ac:dyDescent="0.4">
      <c r="A4" s="10"/>
      <c r="B4" s="13"/>
      <c r="C4" s="13"/>
      <c r="D4" s="13"/>
      <c r="E4" s="13"/>
      <c r="F4" s="13"/>
      <c r="G4" s="13"/>
      <c r="H4" s="13"/>
      <c r="I4" s="13"/>
      <c r="J4" s="13"/>
      <c r="K4" s="13"/>
      <c r="L4" s="13"/>
      <c r="M4" s="13"/>
      <c r="N4" s="13"/>
    </row>
    <row r="5" spans="1:15" ht="16.5" customHeight="1" x14ac:dyDescent="0.3">
      <c r="A5" s="67" t="s">
        <v>60</v>
      </c>
      <c r="B5" s="76"/>
      <c r="C5" s="76"/>
      <c r="D5" s="76"/>
      <c r="E5" s="76"/>
      <c r="F5" s="76"/>
      <c r="G5" s="70"/>
      <c r="H5" s="17"/>
      <c r="I5" s="17"/>
      <c r="J5" s="17"/>
      <c r="K5" s="17"/>
      <c r="L5" s="17"/>
      <c r="M5" s="18"/>
      <c r="N5" s="17"/>
    </row>
    <row r="6" spans="1:15" ht="16.5" customHeight="1" x14ac:dyDescent="0.3">
      <c r="A6" s="67"/>
      <c r="B6" s="77"/>
      <c r="C6" s="77"/>
      <c r="D6" s="77"/>
      <c r="E6" s="77"/>
      <c r="F6" s="77"/>
      <c r="G6" s="71"/>
      <c r="H6" s="69"/>
      <c r="I6" s="69"/>
      <c r="J6" s="69"/>
      <c r="K6" s="69"/>
      <c r="L6" s="69"/>
      <c r="M6" s="69"/>
      <c r="N6" s="69"/>
    </row>
    <row r="7" spans="1:15" ht="16.5" customHeight="1" x14ac:dyDescent="0.35">
      <c r="A7" s="35"/>
      <c r="B7" s="208">
        <v>41275</v>
      </c>
      <c r="C7" s="208">
        <v>41306</v>
      </c>
      <c r="D7" s="208">
        <v>41334</v>
      </c>
      <c r="E7" s="208">
        <v>41365</v>
      </c>
      <c r="F7" s="208">
        <v>41395</v>
      </c>
      <c r="G7" s="209">
        <v>41426</v>
      </c>
      <c r="H7" s="208">
        <v>41456</v>
      </c>
      <c r="I7" s="208">
        <v>41487</v>
      </c>
      <c r="J7" s="208">
        <v>41518</v>
      </c>
      <c r="K7" s="208">
        <v>41548</v>
      </c>
      <c r="L7" s="208">
        <v>41579</v>
      </c>
      <c r="M7" s="208">
        <v>41609</v>
      </c>
      <c r="N7" s="36" t="s">
        <v>4</v>
      </c>
      <c r="O7" s="22"/>
    </row>
    <row r="8" spans="1:15" ht="16.5" customHeight="1" x14ac:dyDescent="0.35">
      <c r="A8" s="67" t="s">
        <v>98</v>
      </c>
      <c r="B8" s="64">
        <v>375630.23</v>
      </c>
      <c r="C8" s="64">
        <v>364869.12</v>
      </c>
      <c r="D8" s="64">
        <v>372466.7</v>
      </c>
      <c r="E8" s="64">
        <v>382355.79</v>
      </c>
      <c r="F8" s="64">
        <v>374593.33</v>
      </c>
      <c r="G8" s="73">
        <v>369420.24</v>
      </c>
      <c r="H8" s="64">
        <v>388151.64</v>
      </c>
      <c r="I8" s="64">
        <v>376539.72</v>
      </c>
      <c r="J8" s="64">
        <v>382703.5</v>
      </c>
      <c r="K8" s="64">
        <v>380830.51</v>
      </c>
      <c r="L8" s="64">
        <v>383942.11</v>
      </c>
      <c r="M8" s="64">
        <v>381512.58</v>
      </c>
      <c r="N8" s="64">
        <f>SUM(B8:M8)</f>
        <v>4533015.47</v>
      </c>
      <c r="O8" s="24"/>
    </row>
    <row r="9" spans="1:15" ht="16.5" customHeight="1" x14ac:dyDescent="0.35">
      <c r="A9" s="35"/>
      <c r="B9" s="66"/>
      <c r="C9" s="66"/>
      <c r="D9" s="66"/>
      <c r="E9" s="66"/>
      <c r="F9" s="66"/>
      <c r="G9" s="72"/>
      <c r="H9" s="66"/>
      <c r="I9" s="66"/>
      <c r="J9" s="66"/>
      <c r="K9" s="66"/>
      <c r="L9" s="66"/>
      <c r="M9" s="64"/>
      <c r="N9" s="64"/>
      <c r="O9" s="22"/>
    </row>
    <row r="10" spans="1:15" ht="30.75" x14ac:dyDescent="0.35">
      <c r="A10" s="40" t="s">
        <v>102</v>
      </c>
      <c r="B10" s="64">
        <v>0</v>
      </c>
      <c r="C10" s="64">
        <v>0</v>
      </c>
      <c r="D10" s="64">
        <v>0</v>
      </c>
      <c r="E10" s="64">
        <v>75205.350000000006</v>
      </c>
      <c r="F10" s="64">
        <v>72615.199999999997</v>
      </c>
      <c r="G10" s="73"/>
      <c r="H10" s="64"/>
      <c r="I10" s="64"/>
      <c r="J10" s="64"/>
      <c r="K10" s="64">
        <v>102239.25</v>
      </c>
      <c r="L10" s="64">
        <v>120265</v>
      </c>
      <c r="M10" s="64">
        <v>0</v>
      </c>
      <c r="N10" s="64">
        <f>SUM(B10:M10)</f>
        <v>370324.8</v>
      </c>
      <c r="O10" s="22"/>
    </row>
    <row r="11" spans="1:15" ht="16.5" customHeight="1" x14ac:dyDescent="0.35">
      <c r="A11" s="35"/>
      <c r="B11" s="26"/>
      <c r="C11" s="26"/>
      <c r="D11" s="26"/>
      <c r="E11" s="26"/>
      <c r="F11" s="27"/>
      <c r="G11" s="74"/>
      <c r="H11" s="26"/>
      <c r="I11" s="26"/>
      <c r="J11" s="26"/>
      <c r="K11" s="26"/>
      <c r="L11" s="26"/>
      <c r="M11" s="26"/>
      <c r="N11" s="26"/>
      <c r="O11" s="22"/>
    </row>
    <row r="12" spans="1:15" ht="17.25" customHeight="1" x14ac:dyDescent="0.35">
      <c r="A12" s="67" t="s">
        <v>126</v>
      </c>
      <c r="B12" s="65"/>
      <c r="C12" s="65"/>
      <c r="D12" s="65"/>
      <c r="E12" s="65"/>
      <c r="F12" s="65"/>
      <c r="G12" s="75"/>
      <c r="H12" s="65"/>
      <c r="I12" s="65"/>
      <c r="J12" s="65"/>
      <c r="K12" s="65"/>
      <c r="L12" s="65"/>
      <c r="M12" s="65"/>
      <c r="N12" s="65"/>
      <c r="O12" s="22"/>
    </row>
    <row r="13" spans="1:15" ht="17.25" customHeight="1" x14ac:dyDescent="0.35">
      <c r="A13" s="35" t="s">
        <v>186</v>
      </c>
      <c r="B13" s="210">
        <v>42883.57</v>
      </c>
      <c r="C13" s="251">
        <v>43342.110000000008</v>
      </c>
      <c r="D13" s="210">
        <v>74979.539999999994</v>
      </c>
      <c r="E13" s="210">
        <v>48662.19</v>
      </c>
      <c r="F13" s="65">
        <v>43785.49</v>
      </c>
      <c r="G13" s="75">
        <v>44205.8</v>
      </c>
      <c r="H13" s="65">
        <v>44988.23</v>
      </c>
      <c r="I13" s="65">
        <v>45535.51</v>
      </c>
      <c r="J13" s="65">
        <v>44895.35</v>
      </c>
      <c r="K13" s="65">
        <v>44603.35</v>
      </c>
      <c r="L13" s="65">
        <v>44519.67</v>
      </c>
      <c r="M13" s="64">
        <v>45640.37</v>
      </c>
      <c r="N13" s="64">
        <f t="shared" ref="N13:N21" si="0">SUM(B13:M13)</f>
        <v>568041.17999999993</v>
      </c>
      <c r="O13" s="22"/>
    </row>
    <row r="14" spans="1:15" ht="16.5" customHeight="1" x14ac:dyDescent="0.35">
      <c r="A14" s="35" t="s">
        <v>5</v>
      </c>
      <c r="B14" s="210">
        <v>3065.92</v>
      </c>
      <c r="C14" s="251">
        <v>3065.92</v>
      </c>
      <c r="D14" s="210">
        <v>3065.92</v>
      </c>
      <c r="E14" s="210">
        <v>3065.92</v>
      </c>
      <c r="F14" s="65">
        <v>36297.82</v>
      </c>
      <c r="G14" s="75">
        <v>7696.96</v>
      </c>
      <c r="H14" s="65">
        <v>3065.91</v>
      </c>
      <c r="I14" s="65">
        <v>3065.92</v>
      </c>
      <c r="J14" s="65">
        <v>3065.92</v>
      </c>
      <c r="K14" s="65">
        <v>3880.2</v>
      </c>
      <c r="L14" s="65">
        <v>26938.82</v>
      </c>
      <c r="M14" s="64">
        <v>7751.2</v>
      </c>
      <c r="N14" s="64">
        <f t="shared" si="0"/>
        <v>104026.42999999998</v>
      </c>
      <c r="O14" s="22"/>
    </row>
    <row r="15" spans="1:15" ht="16.5" customHeight="1" x14ac:dyDescent="0.35">
      <c r="A15" s="35" t="s">
        <v>99</v>
      </c>
      <c r="B15" s="210">
        <v>10.55</v>
      </c>
      <c r="C15" s="251">
        <v>882.36</v>
      </c>
      <c r="D15" s="210">
        <v>680.68</v>
      </c>
      <c r="E15" s="210">
        <v>0</v>
      </c>
      <c r="F15" s="65">
        <v>0</v>
      </c>
      <c r="G15" s="75">
        <v>0</v>
      </c>
      <c r="H15" s="65">
        <v>0</v>
      </c>
      <c r="I15" s="65">
        <v>24.89</v>
      </c>
      <c r="J15" s="65">
        <v>0</v>
      </c>
      <c r="K15" s="65">
        <v>0</v>
      </c>
      <c r="L15" s="65">
        <v>0</v>
      </c>
      <c r="M15" s="65">
        <v>0</v>
      </c>
      <c r="N15" s="64">
        <f t="shared" si="0"/>
        <v>1598.48</v>
      </c>
      <c r="O15" s="22"/>
    </row>
    <row r="16" spans="1:15" ht="16.5" customHeight="1" x14ac:dyDescent="0.35">
      <c r="A16" s="35" t="s">
        <v>100</v>
      </c>
      <c r="B16" s="210">
        <v>11130.71</v>
      </c>
      <c r="C16" s="251">
        <v>10687.19</v>
      </c>
      <c r="D16" s="210">
        <v>11503.55</v>
      </c>
      <c r="E16" s="210">
        <v>10687.19</v>
      </c>
      <c r="F16" s="65">
        <v>12129.69</v>
      </c>
      <c r="G16" s="75">
        <v>10687.19</v>
      </c>
      <c r="H16" s="65">
        <v>10687.19</v>
      </c>
      <c r="I16" s="65">
        <v>10696.62</v>
      </c>
      <c r="J16" s="65">
        <v>10794.15</v>
      </c>
      <c r="K16" s="65">
        <v>10687.19</v>
      </c>
      <c r="L16" s="65">
        <v>10687.19</v>
      </c>
      <c r="M16" s="64">
        <v>10687.19</v>
      </c>
      <c r="N16" s="64">
        <f t="shared" si="0"/>
        <v>131065.05</v>
      </c>
      <c r="O16" s="22"/>
    </row>
    <row r="17" spans="1:15" ht="16.5" customHeight="1" x14ac:dyDescent="0.35">
      <c r="A17" s="35" t="s">
        <v>8</v>
      </c>
      <c r="B17" s="210">
        <v>8461.8700000000008</v>
      </c>
      <c r="C17" s="251">
        <v>8397.5500000000011</v>
      </c>
      <c r="D17" s="210">
        <v>9245.27</v>
      </c>
      <c r="E17" s="210">
        <v>9962.5499999999993</v>
      </c>
      <c r="F17" s="65">
        <v>8847.7900000000009</v>
      </c>
      <c r="G17" s="75">
        <v>9122.6</v>
      </c>
      <c r="H17" s="65">
        <v>10400.540000000001</v>
      </c>
      <c r="I17" s="65">
        <v>8415.8700000000008</v>
      </c>
      <c r="J17" s="65">
        <v>8590.52</v>
      </c>
      <c r="K17" s="65">
        <v>10255.040000000001</v>
      </c>
      <c r="L17" s="65">
        <v>10301.790000000001</v>
      </c>
      <c r="M17" s="64">
        <v>8542.89</v>
      </c>
      <c r="N17" s="64">
        <f t="shared" si="0"/>
        <v>110544.28000000001</v>
      </c>
      <c r="O17" s="22"/>
    </row>
    <row r="18" spans="1:15" ht="16.5" customHeight="1" x14ac:dyDescent="0.35">
      <c r="A18" s="35" t="s">
        <v>101</v>
      </c>
      <c r="B18" s="210">
        <v>0</v>
      </c>
      <c r="C18" s="251">
        <v>0</v>
      </c>
      <c r="D18" s="210">
        <v>0</v>
      </c>
      <c r="E18" s="210">
        <v>0</v>
      </c>
      <c r="F18" s="65">
        <v>0</v>
      </c>
      <c r="G18" s="75">
        <v>0</v>
      </c>
      <c r="H18" s="65">
        <v>0</v>
      </c>
      <c r="I18" s="65">
        <v>0</v>
      </c>
      <c r="J18" s="65">
        <v>0</v>
      </c>
      <c r="K18" s="65">
        <v>0</v>
      </c>
      <c r="L18" s="65">
        <v>9967.25</v>
      </c>
      <c r="M18" s="64">
        <v>9612.5</v>
      </c>
      <c r="N18" s="64">
        <f t="shared" si="0"/>
        <v>19579.75</v>
      </c>
      <c r="O18" s="22"/>
    </row>
    <row r="19" spans="1:15" ht="16.5" customHeight="1" x14ac:dyDescent="0.35">
      <c r="A19" s="35" t="s">
        <v>66</v>
      </c>
      <c r="B19" s="210">
        <v>6479.54</v>
      </c>
      <c r="C19" s="251">
        <v>12054.650000000001</v>
      </c>
      <c r="D19" s="210">
        <v>12344.1</v>
      </c>
      <c r="E19" s="210">
        <v>15100.17</v>
      </c>
      <c r="F19" s="65">
        <v>16731.72</v>
      </c>
      <c r="G19" s="75">
        <v>16875.64</v>
      </c>
      <c r="H19" s="65">
        <v>14223.77</v>
      </c>
      <c r="I19" s="65">
        <v>21522.39</v>
      </c>
      <c r="J19" s="65">
        <v>14324.16</v>
      </c>
      <c r="K19" s="65">
        <v>52807.74</v>
      </c>
      <c r="L19" s="65">
        <v>16074.45</v>
      </c>
      <c r="M19" s="64">
        <v>27732.11</v>
      </c>
      <c r="N19" s="64">
        <f t="shared" si="0"/>
        <v>226270.44</v>
      </c>
      <c r="O19" s="22"/>
    </row>
    <row r="20" spans="1:15" ht="16.5" customHeight="1" x14ac:dyDescent="0.35">
      <c r="A20" s="35" t="s">
        <v>10</v>
      </c>
      <c r="B20" s="211">
        <v>8903.6</v>
      </c>
      <c r="C20" s="251">
        <v>3537.6</v>
      </c>
      <c r="D20" s="210">
        <v>13013.4</v>
      </c>
      <c r="E20" s="210">
        <v>16631</v>
      </c>
      <c r="F20" s="65">
        <v>13414.42</v>
      </c>
      <c r="G20" s="75">
        <v>14559.33</v>
      </c>
      <c r="H20" s="65">
        <v>7204.61</v>
      </c>
      <c r="I20" s="65">
        <v>10644.74</v>
      </c>
      <c r="J20" s="65">
        <v>11768.15</v>
      </c>
      <c r="K20" s="65">
        <v>18781.810000000001</v>
      </c>
      <c r="L20" s="65">
        <v>22260.12</v>
      </c>
      <c r="M20" s="64">
        <v>20371.900000000001</v>
      </c>
      <c r="N20" s="64">
        <f t="shared" si="0"/>
        <v>161090.68</v>
      </c>
      <c r="O20" s="29"/>
    </row>
    <row r="21" spans="1:15" ht="30.75" x14ac:dyDescent="0.35">
      <c r="A21" s="40" t="s">
        <v>111</v>
      </c>
      <c r="B21" s="212">
        <f>SUM(B10:B20)</f>
        <v>80935.759999999995</v>
      </c>
      <c r="C21" s="212">
        <f t="shared" ref="C21:M21" si="1">SUM(C10:C20)</f>
        <v>81967.38</v>
      </c>
      <c r="D21" s="212">
        <f t="shared" si="1"/>
        <v>124832.45999999999</v>
      </c>
      <c r="E21" s="212">
        <f t="shared" si="1"/>
        <v>179314.37</v>
      </c>
      <c r="F21" s="212">
        <f t="shared" si="1"/>
        <v>203822.13000000003</v>
      </c>
      <c r="G21" s="213">
        <f t="shared" si="1"/>
        <v>103147.52</v>
      </c>
      <c r="H21" s="212">
        <f t="shared" si="1"/>
        <v>90570.25</v>
      </c>
      <c r="I21" s="212">
        <f t="shared" si="1"/>
        <v>99905.94</v>
      </c>
      <c r="J21" s="212">
        <f t="shared" si="1"/>
        <v>93438.25</v>
      </c>
      <c r="K21" s="212">
        <f t="shared" si="1"/>
        <v>243254.58000000002</v>
      </c>
      <c r="L21" s="212">
        <f t="shared" si="1"/>
        <v>261014.29</v>
      </c>
      <c r="M21" s="212">
        <f t="shared" si="1"/>
        <v>130338.16</v>
      </c>
      <c r="N21" s="64">
        <f t="shared" si="0"/>
        <v>1692541.09</v>
      </c>
      <c r="O21" s="30"/>
    </row>
    <row r="22" spans="1:15" ht="16.5" customHeight="1" x14ac:dyDescent="0.35">
      <c r="A22" s="35"/>
      <c r="B22" s="66"/>
      <c r="C22" s="64"/>
      <c r="D22" s="64"/>
      <c r="E22" s="64"/>
      <c r="F22" s="64"/>
      <c r="G22" s="73"/>
      <c r="H22" s="64"/>
      <c r="I22" s="64"/>
      <c r="J22" s="64"/>
      <c r="K22" s="64"/>
      <c r="L22" s="64"/>
      <c r="M22" s="64"/>
      <c r="N22" s="64"/>
      <c r="O22" s="22"/>
    </row>
    <row r="23" spans="1:15" ht="16.5" customHeight="1" x14ac:dyDescent="0.35">
      <c r="A23" s="67" t="s">
        <v>11</v>
      </c>
      <c r="B23" s="64">
        <f>B8-B21</f>
        <v>294694.46999999997</v>
      </c>
      <c r="C23" s="64">
        <f t="shared" ref="C23:M23" si="2">C8-C21</f>
        <v>282901.74</v>
      </c>
      <c r="D23" s="64">
        <f t="shared" si="2"/>
        <v>247634.24000000002</v>
      </c>
      <c r="E23" s="64">
        <f t="shared" si="2"/>
        <v>203041.41999999998</v>
      </c>
      <c r="F23" s="64">
        <f t="shared" si="2"/>
        <v>170771.19999999998</v>
      </c>
      <c r="G23" s="73">
        <f t="shared" si="2"/>
        <v>266272.71999999997</v>
      </c>
      <c r="H23" s="64">
        <f t="shared" si="2"/>
        <v>297581.39</v>
      </c>
      <c r="I23" s="64">
        <f t="shared" si="2"/>
        <v>276633.77999999997</v>
      </c>
      <c r="J23" s="64">
        <f t="shared" si="2"/>
        <v>289265.25</v>
      </c>
      <c r="K23" s="64">
        <f t="shared" si="2"/>
        <v>137575.93</v>
      </c>
      <c r="L23" s="64">
        <f t="shared" si="2"/>
        <v>122927.81999999998</v>
      </c>
      <c r="M23" s="64">
        <f t="shared" si="2"/>
        <v>251174.42</v>
      </c>
      <c r="N23" s="64">
        <f>SUM(B23:M23)</f>
        <v>2840474.38</v>
      </c>
      <c r="O23" s="31"/>
    </row>
    <row r="24" spans="1:15" ht="16.5" customHeight="1" x14ac:dyDescent="0.5">
      <c r="A24" s="35" t="s">
        <v>12</v>
      </c>
      <c r="B24" s="64">
        <v>35886.03</v>
      </c>
      <c r="C24" s="64">
        <v>37262.74</v>
      </c>
      <c r="D24" s="64">
        <v>38643.68</v>
      </c>
      <c r="E24" s="64">
        <v>35593.49</v>
      </c>
      <c r="F24" s="64">
        <v>38551.160000000003</v>
      </c>
      <c r="G24" s="73">
        <v>38378.949999999997</v>
      </c>
      <c r="H24" s="64">
        <v>39309.129999999997</v>
      </c>
      <c r="I24" s="64">
        <v>40720.25</v>
      </c>
      <c r="J24" s="214">
        <v>41886.589999999997</v>
      </c>
      <c r="K24" s="214">
        <v>41543.089999999997</v>
      </c>
      <c r="L24" s="214">
        <v>39778.32</v>
      </c>
      <c r="M24" s="211">
        <f>18202.77+19372.64</f>
        <v>37575.410000000003</v>
      </c>
      <c r="N24" s="64">
        <f>SUM(B24:M24)</f>
        <v>465128.83999999997</v>
      </c>
      <c r="O24" s="204"/>
    </row>
    <row r="25" spans="1:15" ht="16.5" customHeight="1" x14ac:dyDescent="0.35">
      <c r="A25" s="67" t="s">
        <v>13</v>
      </c>
      <c r="B25" s="64">
        <f>B23+B24</f>
        <v>330580.5</v>
      </c>
      <c r="C25" s="64">
        <f t="shared" ref="C25:M25" si="3">C23+C24</f>
        <v>320164.47999999998</v>
      </c>
      <c r="D25" s="64">
        <f t="shared" si="3"/>
        <v>286277.92000000004</v>
      </c>
      <c r="E25" s="64">
        <f t="shared" si="3"/>
        <v>238634.90999999997</v>
      </c>
      <c r="F25" s="64">
        <f t="shared" si="3"/>
        <v>209322.36</v>
      </c>
      <c r="G25" s="73">
        <f t="shared" si="3"/>
        <v>304651.67</v>
      </c>
      <c r="H25" s="64">
        <f t="shared" si="3"/>
        <v>336890.52</v>
      </c>
      <c r="I25" s="64">
        <f t="shared" si="3"/>
        <v>317354.02999999997</v>
      </c>
      <c r="J25" s="64">
        <f t="shared" si="3"/>
        <v>331151.83999999997</v>
      </c>
      <c r="K25" s="64">
        <f t="shared" si="3"/>
        <v>179119.02</v>
      </c>
      <c r="L25" s="64">
        <f t="shared" si="3"/>
        <v>162706.13999999998</v>
      </c>
      <c r="M25" s="64">
        <f t="shared" si="3"/>
        <v>288749.83</v>
      </c>
      <c r="N25" s="64">
        <f>SUM(B25:M25)</f>
        <v>3305603.2199999997</v>
      </c>
      <c r="O25" s="31"/>
    </row>
    <row r="26" spans="1:15" ht="12" customHeight="1" x14ac:dyDescent="0.35">
      <c r="A26" s="10"/>
      <c r="B26" s="32"/>
      <c r="C26" s="32"/>
      <c r="D26" s="32"/>
      <c r="E26" s="32"/>
      <c r="F26" s="32"/>
      <c r="G26" s="32"/>
      <c r="H26" s="32"/>
      <c r="I26" s="32"/>
      <c r="J26" s="32"/>
      <c r="K26" s="32"/>
      <c r="L26" s="32"/>
      <c r="N26" s="33"/>
      <c r="O26" s="31"/>
    </row>
    <row r="27" spans="1:15" ht="12" customHeight="1" x14ac:dyDescent="0.35">
      <c r="A27" s="10"/>
      <c r="B27" s="32"/>
      <c r="C27" s="32"/>
      <c r="D27" s="32"/>
      <c r="E27" s="32"/>
      <c r="F27" s="32"/>
      <c r="G27" s="32"/>
      <c r="H27" s="32"/>
      <c r="I27" s="32"/>
      <c r="J27" s="32"/>
      <c r="K27" s="32"/>
      <c r="L27" s="32"/>
      <c r="M27" s="32"/>
      <c r="N27" s="33"/>
      <c r="O27" s="31"/>
    </row>
    <row r="28" spans="1:15" ht="16.5" customHeight="1" x14ac:dyDescent="0.3">
      <c r="A28" s="16" t="s">
        <v>125</v>
      </c>
      <c r="B28" s="34"/>
      <c r="C28" s="34"/>
      <c r="D28" s="34"/>
      <c r="E28" s="34"/>
      <c r="F28" s="34"/>
      <c r="G28" s="34"/>
      <c r="H28" s="34"/>
      <c r="I28" s="34"/>
      <c r="J28" s="34"/>
      <c r="K28" s="34"/>
      <c r="L28" s="34"/>
      <c r="M28" s="34"/>
      <c r="N28" s="34"/>
    </row>
    <row r="29" spans="1:15" ht="16.5" customHeight="1" x14ac:dyDescent="0.35">
      <c r="A29" s="35"/>
      <c r="B29" s="202">
        <v>41275</v>
      </c>
      <c r="C29" s="202">
        <v>41306</v>
      </c>
      <c r="D29" s="202">
        <v>41334</v>
      </c>
      <c r="E29" s="202">
        <v>41365</v>
      </c>
      <c r="F29" s="202">
        <v>41395</v>
      </c>
      <c r="G29" s="202">
        <v>41426</v>
      </c>
      <c r="H29" s="202">
        <v>41456</v>
      </c>
      <c r="I29" s="202">
        <v>41487</v>
      </c>
      <c r="J29" s="202">
        <v>41518</v>
      </c>
      <c r="K29" s="202">
        <v>41548</v>
      </c>
      <c r="L29" s="202">
        <v>41579</v>
      </c>
      <c r="M29" s="202">
        <v>41609</v>
      </c>
      <c r="N29" s="36" t="s">
        <v>4</v>
      </c>
      <c r="O29" s="22"/>
    </row>
    <row r="30" spans="1:15" ht="16.5" customHeight="1" x14ac:dyDescent="0.35">
      <c r="A30" s="35" t="s">
        <v>190</v>
      </c>
      <c r="B30" s="37">
        <v>88175</v>
      </c>
      <c r="C30" s="37">
        <v>88299</v>
      </c>
      <c r="D30" s="37">
        <v>88479</v>
      </c>
      <c r="E30" s="37">
        <v>89120</v>
      </c>
      <c r="F30" s="37">
        <v>90071</v>
      </c>
      <c r="G30" s="37">
        <v>90884</v>
      </c>
      <c r="H30" s="37">
        <v>91630</v>
      </c>
      <c r="I30" s="37">
        <v>92312</v>
      </c>
      <c r="J30" s="37">
        <v>92978</v>
      </c>
      <c r="K30" s="37">
        <v>93854</v>
      </c>
      <c r="L30" s="37">
        <v>94323</v>
      </c>
      <c r="M30" s="37">
        <v>94787</v>
      </c>
      <c r="N30" s="215"/>
      <c r="O30" s="22"/>
    </row>
    <row r="31" spans="1:15" ht="16.5" customHeight="1" x14ac:dyDescent="0.35">
      <c r="A31" s="35" t="s">
        <v>104</v>
      </c>
      <c r="B31" s="216">
        <v>276571</v>
      </c>
      <c r="C31" s="216">
        <v>262032</v>
      </c>
      <c r="D31" s="216">
        <v>271636</v>
      </c>
      <c r="E31" s="216">
        <v>278223</v>
      </c>
      <c r="F31" s="216">
        <v>272618</v>
      </c>
      <c r="G31" s="216">
        <v>262582</v>
      </c>
      <c r="H31" s="216">
        <v>283313</v>
      </c>
      <c r="I31" s="216">
        <v>269177</v>
      </c>
      <c r="J31" s="216">
        <v>290859</v>
      </c>
      <c r="K31" s="216">
        <v>281883</v>
      </c>
      <c r="L31" s="216">
        <v>283513</v>
      </c>
      <c r="M31" s="216">
        <v>280947</v>
      </c>
      <c r="N31" s="215">
        <f>SUM(B31:M31)</f>
        <v>3313354</v>
      </c>
      <c r="O31" s="38"/>
    </row>
    <row r="32" spans="1:15" ht="16.5" customHeight="1" x14ac:dyDescent="0.35">
      <c r="A32" s="35" t="s">
        <v>105</v>
      </c>
      <c r="B32" s="217">
        <f>(B31*100)/1000</f>
        <v>27657.1</v>
      </c>
      <c r="C32" s="217">
        <f t="shared" ref="C32:M32" si="4">(C31*100)/1000</f>
        <v>26203.200000000001</v>
      </c>
      <c r="D32" s="217">
        <f t="shared" si="4"/>
        <v>27163.599999999999</v>
      </c>
      <c r="E32" s="217">
        <f t="shared" si="4"/>
        <v>27822.3</v>
      </c>
      <c r="F32" s="217">
        <f t="shared" si="4"/>
        <v>27261.8</v>
      </c>
      <c r="G32" s="217">
        <f t="shared" si="4"/>
        <v>26258.2</v>
      </c>
      <c r="H32" s="217">
        <f t="shared" si="4"/>
        <v>28331.3</v>
      </c>
      <c r="I32" s="217">
        <f t="shared" si="4"/>
        <v>26917.7</v>
      </c>
      <c r="J32" s="217">
        <f t="shared" si="4"/>
        <v>29085.9</v>
      </c>
      <c r="K32" s="217">
        <f t="shared" si="4"/>
        <v>28188.3</v>
      </c>
      <c r="L32" s="217">
        <f t="shared" si="4"/>
        <v>28351.3</v>
      </c>
      <c r="M32" s="217">
        <f t="shared" si="4"/>
        <v>28094.7</v>
      </c>
      <c r="N32" s="215">
        <f>SUM(B32:M32)</f>
        <v>331335.40000000002</v>
      </c>
      <c r="O32" s="22"/>
    </row>
    <row r="33" spans="1:15" ht="30.75" x14ac:dyDescent="0.35">
      <c r="A33" s="39" t="s">
        <v>109</v>
      </c>
      <c r="B33" s="37">
        <v>0</v>
      </c>
      <c r="C33" s="37"/>
      <c r="D33" s="37"/>
      <c r="E33" s="37">
        <v>61000</v>
      </c>
      <c r="F33" s="37">
        <v>74423</v>
      </c>
      <c r="G33" s="37"/>
      <c r="H33" s="37"/>
      <c r="I33" s="37"/>
      <c r="J33" s="37"/>
      <c r="K33" s="37">
        <v>85805</v>
      </c>
      <c r="L33" s="37">
        <v>114475</v>
      </c>
      <c r="M33" s="37"/>
      <c r="N33" s="215">
        <f>SUM(B33:M33)</f>
        <v>335703</v>
      </c>
      <c r="O33" s="22"/>
    </row>
    <row r="34" spans="1:15" ht="30.75" x14ac:dyDescent="0.35">
      <c r="A34" s="40" t="s">
        <v>110</v>
      </c>
      <c r="B34" s="217">
        <f>B33-B32</f>
        <v>-27657.1</v>
      </c>
      <c r="C34" s="217">
        <f t="shared" ref="C34:N34" si="5">C33-C32</f>
        <v>-26203.200000000001</v>
      </c>
      <c r="D34" s="217">
        <f t="shared" si="5"/>
        <v>-27163.599999999999</v>
      </c>
      <c r="E34" s="217">
        <f t="shared" si="5"/>
        <v>33177.699999999997</v>
      </c>
      <c r="F34" s="217">
        <f t="shared" si="5"/>
        <v>47161.2</v>
      </c>
      <c r="G34" s="217">
        <f t="shared" si="5"/>
        <v>-26258.2</v>
      </c>
      <c r="H34" s="217">
        <f t="shared" si="5"/>
        <v>-28331.3</v>
      </c>
      <c r="I34" s="217">
        <f t="shared" si="5"/>
        <v>-26917.7</v>
      </c>
      <c r="J34" s="217">
        <f t="shared" si="5"/>
        <v>-29085.9</v>
      </c>
      <c r="K34" s="217">
        <f t="shared" si="5"/>
        <v>57616.7</v>
      </c>
      <c r="L34" s="217">
        <f t="shared" si="5"/>
        <v>86123.7</v>
      </c>
      <c r="M34" s="217">
        <f t="shared" si="5"/>
        <v>-28094.7</v>
      </c>
      <c r="N34" s="217">
        <f t="shared" si="5"/>
        <v>4367.5999999999767</v>
      </c>
      <c r="O34" s="22"/>
    </row>
    <row r="35" spans="1:15" ht="16.5" customHeight="1" x14ac:dyDescent="0.35">
      <c r="A35" s="41"/>
      <c r="B35" s="42"/>
      <c r="C35" s="42"/>
      <c r="D35" s="42"/>
      <c r="E35" s="42"/>
      <c r="F35" s="42"/>
      <c r="G35" s="42"/>
      <c r="H35" s="42"/>
      <c r="I35" s="43"/>
      <c r="J35" s="43"/>
      <c r="K35" s="43"/>
      <c r="L35" s="43"/>
      <c r="M35" s="43"/>
      <c r="N35" s="44"/>
      <c r="O35" s="22"/>
    </row>
    <row r="36" spans="1:15" ht="16.5" customHeight="1" x14ac:dyDescent="0.35">
      <c r="A36" s="16"/>
      <c r="B36" s="21"/>
      <c r="C36" s="21" t="s">
        <v>14</v>
      </c>
      <c r="D36" s="21" t="s">
        <v>15</v>
      </c>
      <c r="E36" s="21" t="s">
        <v>16</v>
      </c>
      <c r="F36" s="21" t="s">
        <v>17</v>
      </c>
      <c r="G36" s="21" t="s">
        <v>18</v>
      </c>
      <c r="H36" s="21"/>
      <c r="I36" s="6"/>
      <c r="J36" s="6"/>
      <c r="K36" s="6"/>
      <c r="L36" s="6"/>
      <c r="M36" s="6"/>
      <c r="N36" s="6"/>
      <c r="O36" s="22"/>
    </row>
    <row r="37" spans="1:15" ht="16.5" customHeight="1" x14ac:dyDescent="0.35">
      <c r="A37" s="16"/>
      <c r="B37" s="21"/>
      <c r="C37" s="21" t="s">
        <v>19</v>
      </c>
      <c r="D37" s="21" t="s">
        <v>19</v>
      </c>
      <c r="E37" s="21" t="s">
        <v>20</v>
      </c>
      <c r="F37" s="21" t="s">
        <v>21</v>
      </c>
      <c r="G37" s="21" t="s">
        <v>21</v>
      </c>
      <c r="H37" s="21" t="s">
        <v>16</v>
      </c>
      <c r="I37" s="6"/>
      <c r="J37" s="6"/>
      <c r="K37" s="6"/>
      <c r="L37" s="6"/>
      <c r="M37" s="6"/>
      <c r="N37" s="6"/>
      <c r="O37" s="22"/>
    </row>
    <row r="38" spans="1:15" ht="16.5" customHeight="1" x14ac:dyDescent="0.35">
      <c r="A38" s="16" t="s">
        <v>22</v>
      </c>
      <c r="B38" s="21" t="s">
        <v>23</v>
      </c>
      <c r="C38" s="21" t="s">
        <v>25</v>
      </c>
      <c r="D38" s="21" t="s">
        <v>25</v>
      </c>
      <c r="E38" s="21" t="s">
        <v>26</v>
      </c>
      <c r="F38" s="21" t="s">
        <v>27</v>
      </c>
      <c r="G38" s="21" t="s">
        <v>27</v>
      </c>
      <c r="H38" s="21" t="s">
        <v>27</v>
      </c>
      <c r="I38" s="6"/>
      <c r="J38" s="6"/>
      <c r="K38" s="45"/>
      <c r="L38" s="6"/>
      <c r="M38" s="6"/>
      <c r="N38" s="6"/>
      <c r="O38" s="22"/>
    </row>
    <row r="39" spans="1:15" ht="16.5" customHeight="1" x14ac:dyDescent="0.35">
      <c r="A39" s="20" t="s">
        <v>28</v>
      </c>
      <c r="B39" s="46" t="s">
        <v>67</v>
      </c>
      <c r="C39" s="46">
        <v>1458636</v>
      </c>
      <c r="D39" s="46">
        <v>1854718</v>
      </c>
      <c r="E39" s="46">
        <f>N31</f>
        <v>3313354</v>
      </c>
      <c r="F39" s="46">
        <f>(E39*100)/1000</f>
        <v>331335.40000000002</v>
      </c>
      <c r="G39" s="46"/>
      <c r="H39" s="46">
        <f>F39</f>
        <v>331335.40000000002</v>
      </c>
      <c r="I39" s="6"/>
      <c r="J39" s="6"/>
      <c r="K39" s="6"/>
      <c r="L39" s="6"/>
      <c r="M39" s="6"/>
      <c r="N39" s="6"/>
      <c r="O39" s="22"/>
    </row>
    <row r="40" spans="1:15" ht="12" customHeight="1" x14ac:dyDescent="0.35">
      <c r="A40" s="5"/>
      <c r="B40" s="6"/>
      <c r="C40" s="47"/>
      <c r="D40" s="48"/>
      <c r="E40" s="47"/>
      <c r="F40" s="47"/>
      <c r="G40" s="47"/>
      <c r="H40" s="6"/>
      <c r="I40" s="6"/>
      <c r="J40" s="6"/>
      <c r="K40" s="6"/>
      <c r="L40" s="6"/>
      <c r="M40" s="4"/>
      <c r="N40" s="4"/>
      <c r="O40" s="22"/>
    </row>
    <row r="41" spans="1:15" ht="12" customHeight="1" x14ac:dyDescent="0.35">
      <c r="A41" s="5"/>
      <c r="B41" s="6"/>
      <c r="C41" s="49"/>
      <c r="D41" s="191"/>
      <c r="E41" s="190"/>
      <c r="F41" s="6"/>
      <c r="G41" s="6"/>
      <c r="H41" s="49"/>
      <c r="I41" s="6"/>
      <c r="J41" s="6"/>
      <c r="K41" s="6"/>
      <c r="L41" s="50"/>
      <c r="M41" s="51"/>
      <c r="N41" s="52"/>
      <c r="O41" s="22"/>
    </row>
    <row r="42" spans="1:15" s="6" customFormat="1" x14ac:dyDescent="0.3">
      <c r="A42" s="53" t="s">
        <v>57</v>
      </c>
      <c r="B42" s="9"/>
      <c r="C42" s="9"/>
      <c r="D42" s="54"/>
      <c r="E42" s="190"/>
    </row>
    <row r="43" spans="1:15" s="6" customFormat="1" x14ac:dyDescent="0.3">
      <c r="A43" s="9" t="s">
        <v>106</v>
      </c>
    </row>
    <row r="44" spans="1:15" s="6" customFormat="1" x14ac:dyDescent="0.3">
      <c r="A44" s="55" t="s">
        <v>107</v>
      </c>
      <c r="D44" s="45"/>
      <c r="F44" s="49"/>
      <c r="H44" s="56"/>
      <c r="I44" s="57"/>
    </row>
    <row r="45" spans="1:15" s="6" customFormat="1" x14ac:dyDescent="0.3">
      <c r="A45" s="9" t="s">
        <v>108</v>
      </c>
      <c r="E45" s="58"/>
      <c r="H45" s="56"/>
    </row>
    <row r="46" spans="1:15" s="6" customFormat="1" x14ac:dyDescent="0.3">
      <c r="E46" s="56"/>
      <c r="F46" s="59"/>
      <c r="H46" s="60"/>
      <c r="I46" s="61"/>
    </row>
    <row r="47" spans="1:15" x14ac:dyDescent="0.3">
      <c r="F47" s="63"/>
    </row>
  </sheetData>
  <phoneticPr fontId="11" type="noConversion"/>
  <pageMargins left="0.5" right="0.5" top="0.75" bottom="0.75" header="0.5" footer="0.5"/>
  <pageSetup scale="65"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L105"/>
  <sheetViews>
    <sheetView view="pageBreakPreview" topLeftCell="A47" zoomScale="60" zoomScaleNormal="75" workbookViewId="0">
      <selection activeCell="F10" sqref="F10"/>
    </sheetView>
  </sheetViews>
  <sheetFormatPr defaultColWidth="9.140625" defaultRowHeight="15" x14ac:dyDescent="0.3"/>
  <cols>
    <col min="1" max="1" width="43.28515625" style="6" customWidth="1"/>
    <col min="2" max="2" width="25.28515625" style="5" customWidth="1"/>
    <col min="3" max="3" width="28.140625" style="9" customWidth="1"/>
    <col min="4" max="4" width="20" style="187" customWidth="1"/>
    <col min="5" max="5" width="20" style="2" customWidth="1"/>
    <col min="6" max="6" width="20" style="8" customWidth="1"/>
    <col min="7" max="7" width="20" style="7" customWidth="1"/>
    <col min="8" max="8" width="20" style="3" customWidth="1"/>
    <col min="9" max="10" width="20" style="6" customWidth="1"/>
    <col min="11" max="11" width="20" style="1" customWidth="1"/>
    <col min="12" max="12" width="20" style="6" customWidth="1"/>
    <col min="13" max="16384" width="9.140625" style="6"/>
  </cols>
  <sheetData>
    <row r="3" spans="1:12" ht="17.25" customHeight="1" x14ac:dyDescent="0.3">
      <c r="A3" s="310" t="s">
        <v>29</v>
      </c>
      <c r="B3" s="311"/>
      <c r="C3" s="311"/>
      <c r="D3" s="311"/>
      <c r="E3" s="311"/>
      <c r="F3" s="311"/>
      <c r="G3" s="311"/>
      <c r="H3" s="311"/>
      <c r="I3" s="311"/>
      <c r="J3" s="311"/>
      <c r="K3" s="311"/>
      <c r="L3" s="312"/>
    </row>
    <row r="4" spans="1:12" ht="17.25" customHeight="1" x14ac:dyDescent="0.3">
      <c r="A4" s="313" t="s">
        <v>200</v>
      </c>
      <c r="B4" s="314"/>
      <c r="C4" s="314"/>
      <c r="D4" s="314"/>
      <c r="E4" s="314"/>
      <c r="F4" s="314"/>
      <c r="G4" s="314"/>
      <c r="H4" s="314"/>
      <c r="I4" s="314"/>
      <c r="J4" s="314"/>
      <c r="K4" s="314"/>
      <c r="L4" s="315"/>
    </row>
    <row r="5" spans="1:12" ht="17.25" customHeight="1" x14ac:dyDescent="0.3">
      <c r="A5" s="218"/>
      <c r="B5" s="198"/>
      <c r="C5" s="316" t="s">
        <v>59</v>
      </c>
      <c r="D5" s="317"/>
      <c r="E5" s="219"/>
      <c r="F5" s="160"/>
      <c r="G5" s="184" t="s">
        <v>58</v>
      </c>
      <c r="H5" s="185"/>
      <c r="I5" s="318"/>
      <c r="J5" s="319"/>
      <c r="K5" s="319"/>
      <c r="L5" s="320"/>
    </row>
    <row r="6" spans="1:12" ht="17.25" customHeight="1" x14ac:dyDescent="0.3">
      <c r="A6" s="36" t="s">
        <v>30</v>
      </c>
      <c r="B6" s="220"/>
      <c r="C6" s="36" t="s">
        <v>64</v>
      </c>
      <c r="D6" s="221"/>
      <c r="E6" s="219"/>
      <c r="F6" s="36"/>
      <c r="G6" s="222" t="s">
        <v>31</v>
      </c>
      <c r="H6" s="186"/>
      <c r="I6" s="36"/>
      <c r="J6" s="36"/>
      <c r="K6" s="223" t="s">
        <v>32</v>
      </c>
      <c r="L6" s="218"/>
    </row>
    <row r="7" spans="1:12" ht="17.25" customHeight="1" x14ac:dyDescent="0.3">
      <c r="A7" s="36" t="s">
        <v>33</v>
      </c>
      <c r="B7" s="220" t="s">
        <v>30</v>
      </c>
      <c r="C7" s="36" t="s">
        <v>34</v>
      </c>
      <c r="D7" s="221"/>
      <c r="E7" s="219"/>
      <c r="F7" s="36" t="s">
        <v>35</v>
      </c>
      <c r="G7" s="222" t="s">
        <v>36</v>
      </c>
      <c r="H7" s="186"/>
      <c r="I7" s="36" t="s">
        <v>37</v>
      </c>
      <c r="J7" s="36" t="s">
        <v>38</v>
      </c>
      <c r="K7" s="223" t="s">
        <v>39</v>
      </c>
      <c r="L7" s="36" t="s">
        <v>40</v>
      </c>
    </row>
    <row r="8" spans="1:12" ht="17.25" customHeight="1" x14ac:dyDescent="0.3">
      <c r="A8" s="36" t="s">
        <v>41</v>
      </c>
      <c r="B8" s="220" t="s">
        <v>42</v>
      </c>
      <c r="C8" s="36" t="s">
        <v>43</v>
      </c>
      <c r="D8" s="221"/>
      <c r="E8" s="219" t="s">
        <v>61</v>
      </c>
      <c r="F8" s="36" t="s">
        <v>44</v>
      </c>
      <c r="G8" s="222" t="s">
        <v>45</v>
      </c>
      <c r="H8" s="186"/>
      <c r="I8" s="36" t="s">
        <v>46</v>
      </c>
      <c r="J8" s="36" t="s">
        <v>47</v>
      </c>
      <c r="K8" s="223" t="s">
        <v>38</v>
      </c>
      <c r="L8" s="36" t="s">
        <v>37</v>
      </c>
    </row>
    <row r="9" spans="1:12" ht="17.25" customHeight="1" x14ac:dyDescent="0.3">
      <c r="A9" s="36" t="s">
        <v>48</v>
      </c>
      <c r="B9" s="220" t="s">
        <v>49</v>
      </c>
      <c r="C9" s="36" t="s">
        <v>47</v>
      </c>
      <c r="D9" s="186" t="s">
        <v>65</v>
      </c>
      <c r="E9" s="219" t="s">
        <v>62</v>
      </c>
      <c r="F9" s="36" t="s">
        <v>50</v>
      </c>
      <c r="G9" s="222" t="s">
        <v>51</v>
      </c>
      <c r="H9" s="186" t="s">
        <v>61</v>
      </c>
      <c r="I9" s="36" t="s">
        <v>52</v>
      </c>
      <c r="J9" s="36" t="s">
        <v>53</v>
      </c>
      <c r="K9" s="223" t="s">
        <v>53</v>
      </c>
      <c r="L9" s="36" t="s">
        <v>54</v>
      </c>
    </row>
    <row r="10" spans="1:12" ht="17.25" customHeight="1" x14ac:dyDescent="0.3">
      <c r="A10" s="224" t="s">
        <v>205</v>
      </c>
      <c r="B10" s="225" t="s">
        <v>194</v>
      </c>
      <c r="C10" s="226">
        <v>1617</v>
      </c>
      <c r="D10" s="227">
        <v>1374.45</v>
      </c>
      <c r="E10" s="228">
        <f t="shared" ref="E10:E73" si="0">D10/C10</f>
        <v>0.85</v>
      </c>
      <c r="F10" s="160">
        <v>0</v>
      </c>
      <c r="G10" s="229">
        <f>C10*0.4662</f>
        <v>753.84540000000004</v>
      </c>
      <c r="H10" s="228">
        <f>G10*E10</f>
        <v>640.76859000000002</v>
      </c>
      <c r="I10" s="160" t="s">
        <v>123</v>
      </c>
      <c r="J10" s="230">
        <v>41214</v>
      </c>
      <c r="K10" s="231">
        <v>38756</v>
      </c>
      <c r="L10" s="160" t="s">
        <v>56</v>
      </c>
    </row>
    <row r="11" spans="1:12" ht="17.25" customHeight="1" x14ac:dyDescent="0.3">
      <c r="A11" s="224" t="s">
        <v>205</v>
      </c>
      <c r="B11" s="225" t="s">
        <v>194</v>
      </c>
      <c r="C11" s="226">
        <v>2904</v>
      </c>
      <c r="D11" s="227">
        <v>2468.4</v>
      </c>
      <c r="E11" s="228">
        <f t="shared" si="0"/>
        <v>0.85</v>
      </c>
      <c r="F11" s="160">
        <v>0</v>
      </c>
      <c r="G11" s="229">
        <f t="shared" ref="G11:G74" si="1">C11*0.4662</f>
        <v>1353.8448000000001</v>
      </c>
      <c r="H11" s="228">
        <f t="shared" ref="H11:H74" si="2">G11*E11</f>
        <v>1150.7680800000001</v>
      </c>
      <c r="I11" s="160" t="s">
        <v>123</v>
      </c>
      <c r="J11" s="230">
        <v>41244</v>
      </c>
      <c r="K11" s="231">
        <v>38756</v>
      </c>
      <c r="L11" s="160" t="s">
        <v>56</v>
      </c>
    </row>
    <row r="12" spans="1:12" ht="17.25" customHeight="1" x14ac:dyDescent="0.3">
      <c r="A12" s="224" t="s">
        <v>206</v>
      </c>
      <c r="B12" s="225" t="s">
        <v>183</v>
      </c>
      <c r="C12" s="226">
        <v>95</v>
      </c>
      <c r="D12" s="227">
        <v>95</v>
      </c>
      <c r="E12" s="228">
        <f t="shared" si="0"/>
        <v>1</v>
      </c>
      <c r="F12" s="160">
        <v>0</v>
      </c>
      <c r="G12" s="229">
        <f t="shared" si="1"/>
        <v>44.289000000000001</v>
      </c>
      <c r="H12" s="228">
        <f t="shared" si="2"/>
        <v>44.289000000000001</v>
      </c>
      <c r="I12" s="160" t="s">
        <v>123</v>
      </c>
      <c r="J12" s="230">
        <v>41214</v>
      </c>
      <c r="K12" s="231">
        <v>40543</v>
      </c>
      <c r="L12" s="160" t="s">
        <v>56</v>
      </c>
    </row>
    <row r="13" spans="1:12" ht="17.25" customHeight="1" x14ac:dyDescent="0.3">
      <c r="A13" s="224" t="s">
        <v>206</v>
      </c>
      <c r="B13" s="225" t="s">
        <v>183</v>
      </c>
      <c r="C13" s="226">
        <v>6200</v>
      </c>
      <c r="D13" s="227">
        <v>6200</v>
      </c>
      <c r="E13" s="228">
        <f t="shared" si="0"/>
        <v>1</v>
      </c>
      <c r="F13" s="160">
        <v>0</v>
      </c>
      <c r="G13" s="229">
        <f t="shared" si="1"/>
        <v>2890.44</v>
      </c>
      <c r="H13" s="228">
        <f t="shared" si="2"/>
        <v>2890.44</v>
      </c>
      <c r="I13" s="160" t="s">
        <v>123</v>
      </c>
      <c r="J13" s="230">
        <v>41244</v>
      </c>
      <c r="K13" s="231">
        <v>40543</v>
      </c>
      <c r="L13" s="160" t="s">
        <v>56</v>
      </c>
    </row>
    <row r="14" spans="1:12" ht="17.25" customHeight="1" x14ac:dyDescent="0.3">
      <c r="A14" s="224" t="s">
        <v>207</v>
      </c>
      <c r="B14" s="225" t="s">
        <v>183</v>
      </c>
      <c r="C14" s="226">
        <v>450</v>
      </c>
      <c r="D14" s="227">
        <v>450</v>
      </c>
      <c r="E14" s="228">
        <f t="shared" si="0"/>
        <v>1</v>
      </c>
      <c r="F14" s="160">
        <v>0</v>
      </c>
      <c r="G14" s="229">
        <f t="shared" si="1"/>
        <v>209.79</v>
      </c>
      <c r="H14" s="228">
        <f t="shared" si="2"/>
        <v>209.79</v>
      </c>
      <c r="I14" s="160" t="s">
        <v>123</v>
      </c>
      <c r="J14" s="230">
        <v>41183</v>
      </c>
      <c r="K14" s="231">
        <v>40655</v>
      </c>
      <c r="L14" s="160" t="s">
        <v>56</v>
      </c>
    </row>
    <row r="15" spans="1:12" ht="17.25" customHeight="1" x14ac:dyDescent="0.3">
      <c r="A15" s="224" t="s">
        <v>207</v>
      </c>
      <c r="B15" s="225" t="s">
        <v>183</v>
      </c>
      <c r="C15" s="226">
        <v>6131</v>
      </c>
      <c r="D15" s="227">
        <v>6131</v>
      </c>
      <c r="E15" s="228">
        <f t="shared" si="0"/>
        <v>1</v>
      </c>
      <c r="F15" s="160">
        <v>0</v>
      </c>
      <c r="G15" s="229">
        <f t="shared" si="1"/>
        <v>2858.2721999999999</v>
      </c>
      <c r="H15" s="228">
        <f t="shared" si="2"/>
        <v>2858.2721999999999</v>
      </c>
      <c r="I15" s="160" t="s">
        <v>123</v>
      </c>
      <c r="J15" s="230">
        <v>41244</v>
      </c>
      <c r="K15" s="231">
        <v>40655</v>
      </c>
      <c r="L15" s="160" t="s">
        <v>56</v>
      </c>
    </row>
    <row r="16" spans="1:12" ht="17.25" customHeight="1" x14ac:dyDescent="0.3">
      <c r="A16" s="224" t="s">
        <v>208</v>
      </c>
      <c r="B16" s="225" t="s">
        <v>183</v>
      </c>
      <c r="C16" s="226">
        <v>2192</v>
      </c>
      <c r="D16" s="227">
        <v>2192</v>
      </c>
      <c r="E16" s="228">
        <f t="shared" si="0"/>
        <v>1</v>
      </c>
      <c r="F16" s="160">
        <v>0</v>
      </c>
      <c r="G16" s="229">
        <f t="shared" si="1"/>
        <v>1021.9104</v>
      </c>
      <c r="H16" s="228">
        <f t="shared" si="2"/>
        <v>1021.9104</v>
      </c>
      <c r="I16" s="160" t="s">
        <v>123</v>
      </c>
      <c r="J16" s="230">
        <v>41183</v>
      </c>
      <c r="K16" s="231">
        <v>40560</v>
      </c>
      <c r="L16" s="160" t="s">
        <v>56</v>
      </c>
    </row>
    <row r="17" spans="1:12" ht="17.25" customHeight="1" x14ac:dyDescent="0.3">
      <c r="A17" s="224" t="s">
        <v>208</v>
      </c>
      <c r="B17" s="225" t="s">
        <v>183</v>
      </c>
      <c r="C17" s="226">
        <v>2936</v>
      </c>
      <c r="D17" s="227">
        <v>2936</v>
      </c>
      <c r="E17" s="228">
        <f t="shared" si="0"/>
        <v>1</v>
      </c>
      <c r="F17" s="160">
        <v>0</v>
      </c>
      <c r="G17" s="229">
        <f t="shared" si="1"/>
        <v>1368.7632000000001</v>
      </c>
      <c r="H17" s="228">
        <f t="shared" si="2"/>
        <v>1368.7632000000001</v>
      </c>
      <c r="I17" s="160" t="s">
        <v>123</v>
      </c>
      <c r="J17" s="230">
        <v>41214</v>
      </c>
      <c r="K17" s="231">
        <v>40560</v>
      </c>
      <c r="L17" s="160" t="s">
        <v>56</v>
      </c>
    </row>
    <row r="18" spans="1:12" ht="17.25" customHeight="1" x14ac:dyDescent="0.3">
      <c r="A18" s="224" t="s">
        <v>208</v>
      </c>
      <c r="B18" s="225" t="s">
        <v>183</v>
      </c>
      <c r="C18" s="226">
        <v>3319</v>
      </c>
      <c r="D18" s="227">
        <v>3319</v>
      </c>
      <c r="E18" s="228">
        <f t="shared" si="0"/>
        <v>1</v>
      </c>
      <c r="F18" s="160">
        <v>0</v>
      </c>
      <c r="G18" s="229">
        <f t="shared" si="1"/>
        <v>1547.3178</v>
      </c>
      <c r="H18" s="228">
        <f t="shared" si="2"/>
        <v>1547.3178</v>
      </c>
      <c r="I18" s="160" t="s">
        <v>123</v>
      </c>
      <c r="J18" s="230">
        <v>41244</v>
      </c>
      <c r="K18" s="231">
        <v>40560</v>
      </c>
      <c r="L18" s="160" t="s">
        <v>56</v>
      </c>
    </row>
    <row r="19" spans="1:12" ht="17.25" customHeight="1" x14ac:dyDescent="0.3">
      <c r="A19" s="224" t="s">
        <v>209</v>
      </c>
      <c r="B19" s="225" t="s">
        <v>183</v>
      </c>
      <c r="C19" s="226">
        <v>2029</v>
      </c>
      <c r="D19" s="227">
        <v>2029</v>
      </c>
      <c r="E19" s="228">
        <f t="shared" si="0"/>
        <v>1</v>
      </c>
      <c r="F19" s="160">
        <v>0</v>
      </c>
      <c r="G19" s="229">
        <f t="shared" si="1"/>
        <v>945.91980000000001</v>
      </c>
      <c r="H19" s="228">
        <f t="shared" si="2"/>
        <v>945.91980000000001</v>
      </c>
      <c r="I19" s="160" t="s">
        <v>123</v>
      </c>
      <c r="J19" s="230">
        <v>41183</v>
      </c>
      <c r="K19" s="231">
        <v>40568</v>
      </c>
      <c r="L19" s="160" t="s">
        <v>56</v>
      </c>
    </row>
    <row r="20" spans="1:12" ht="17.25" customHeight="1" x14ac:dyDescent="0.3">
      <c r="A20" s="224" t="s">
        <v>209</v>
      </c>
      <c r="B20" s="225" t="s">
        <v>183</v>
      </c>
      <c r="C20" s="226">
        <v>2383</v>
      </c>
      <c r="D20" s="227">
        <v>2383</v>
      </c>
      <c r="E20" s="228">
        <f t="shared" si="0"/>
        <v>1</v>
      </c>
      <c r="F20" s="160">
        <v>0</v>
      </c>
      <c r="G20" s="229">
        <f t="shared" si="1"/>
        <v>1110.9546</v>
      </c>
      <c r="H20" s="228">
        <f t="shared" si="2"/>
        <v>1110.9546</v>
      </c>
      <c r="I20" s="160" t="s">
        <v>123</v>
      </c>
      <c r="J20" s="230">
        <v>41214</v>
      </c>
      <c r="K20" s="231">
        <v>40568</v>
      </c>
      <c r="L20" s="160" t="s">
        <v>56</v>
      </c>
    </row>
    <row r="21" spans="1:12" ht="17.25" customHeight="1" x14ac:dyDescent="0.3">
      <c r="A21" s="224" t="s">
        <v>209</v>
      </c>
      <c r="B21" s="225" t="s">
        <v>183</v>
      </c>
      <c r="C21" s="226">
        <v>2997</v>
      </c>
      <c r="D21" s="227">
        <v>2997</v>
      </c>
      <c r="E21" s="228">
        <f t="shared" si="0"/>
        <v>1</v>
      </c>
      <c r="F21" s="160">
        <v>0</v>
      </c>
      <c r="G21" s="229">
        <f t="shared" si="1"/>
        <v>1397.2013999999999</v>
      </c>
      <c r="H21" s="228">
        <f t="shared" si="2"/>
        <v>1397.2013999999999</v>
      </c>
      <c r="I21" s="160" t="s">
        <v>123</v>
      </c>
      <c r="J21" s="230">
        <v>41244</v>
      </c>
      <c r="K21" s="231">
        <v>40568</v>
      </c>
      <c r="L21" s="160" t="s">
        <v>56</v>
      </c>
    </row>
    <row r="22" spans="1:12" ht="17.25" customHeight="1" x14ac:dyDescent="0.3">
      <c r="A22" s="224" t="s">
        <v>178</v>
      </c>
      <c r="B22" s="225" t="s">
        <v>183</v>
      </c>
      <c r="C22" s="226">
        <v>6268</v>
      </c>
      <c r="D22" s="227">
        <v>6268</v>
      </c>
      <c r="E22" s="228">
        <f t="shared" si="0"/>
        <v>1</v>
      </c>
      <c r="F22" s="160">
        <v>0</v>
      </c>
      <c r="G22" s="229">
        <f t="shared" si="1"/>
        <v>2922.1415999999999</v>
      </c>
      <c r="H22" s="228">
        <f t="shared" si="2"/>
        <v>2922.1415999999999</v>
      </c>
      <c r="I22" s="160" t="s">
        <v>123</v>
      </c>
      <c r="J22" s="230">
        <v>41244</v>
      </c>
      <c r="K22" s="231">
        <v>40543</v>
      </c>
      <c r="L22" s="160" t="s">
        <v>56</v>
      </c>
    </row>
    <row r="23" spans="1:12" ht="17.25" customHeight="1" x14ac:dyDescent="0.3">
      <c r="A23" s="224" t="s">
        <v>210</v>
      </c>
      <c r="B23" s="225" t="s">
        <v>221</v>
      </c>
      <c r="C23" s="226">
        <v>1108</v>
      </c>
      <c r="D23" s="227">
        <v>1052.5999999999999</v>
      </c>
      <c r="E23" s="228">
        <f t="shared" si="0"/>
        <v>0.95</v>
      </c>
      <c r="F23" s="160">
        <v>0</v>
      </c>
      <c r="G23" s="229">
        <f t="shared" si="1"/>
        <v>516.54960000000005</v>
      </c>
      <c r="H23" s="228">
        <f t="shared" si="2"/>
        <v>490.72212000000002</v>
      </c>
      <c r="I23" s="160" t="s">
        <v>123</v>
      </c>
      <c r="J23" s="230">
        <v>41091</v>
      </c>
      <c r="K23" s="231">
        <v>37500</v>
      </c>
      <c r="L23" s="160" t="s">
        <v>56</v>
      </c>
    </row>
    <row r="24" spans="1:12" ht="17.25" customHeight="1" x14ac:dyDescent="0.3">
      <c r="A24" s="224" t="s">
        <v>210</v>
      </c>
      <c r="B24" s="225" t="s">
        <v>221</v>
      </c>
      <c r="C24" s="226">
        <v>395</v>
      </c>
      <c r="D24" s="227">
        <v>375.25</v>
      </c>
      <c r="E24" s="228">
        <f t="shared" si="0"/>
        <v>0.95</v>
      </c>
      <c r="F24" s="160">
        <v>0</v>
      </c>
      <c r="G24" s="229">
        <f t="shared" si="1"/>
        <v>184.149</v>
      </c>
      <c r="H24" s="228">
        <f t="shared" si="2"/>
        <v>174.94155000000001</v>
      </c>
      <c r="I24" s="160" t="s">
        <v>123</v>
      </c>
      <c r="J24" s="230">
        <v>41122</v>
      </c>
      <c r="K24" s="231">
        <v>37500</v>
      </c>
      <c r="L24" s="160" t="s">
        <v>56</v>
      </c>
    </row>
    <row r="25" spans="1:12" ht="17.25" customHeight="1" x14ac:dyDescent="0.3">
      <c r="A25" s="224" t="s">
        <v>210</v>
      </c>
      <c r="B25" s="225" t="s">
        <v>221</v>
      </c>
      <c r="C25" s="226">
        <v>463</v>
      </c>
      <c r="D25" s="227">
        <v>439.84999999999997</v>
      </c>
      <c r="E25" s="228">
        <f t="shared" si="0"/>
        <v>0.95</v>
      </c>
      <c r="F25" s="160">
        <v>0</v>
      </c>
      <c r="G25" s="229">
        <f t="shared" si="1"/>
        <v>215.85060000000001</v>
      </c>
      <c r="H25" s="228">
        <f t="shared" si="2"/>
        <v>205.05807000000001</v>
      </c>
      <c r="I25" s="160" t="s">
        <v>123</v>
      </c>
      <c r="J25" s="230">
        <v>41153</v>
      </c>
      <c r="K25" s="231">
        <v>37500</v>
      </c>
      <c r="L25" s="160" t="s">
        <v>56</v>
      </c>
    </row>
    <row r="26" spans="1:12" ht="17.25" customHeight="1" x14ac:dyDescent="0.3">
      <c r="A26" s="224" t="s">
        <v>210</v>
      </c>
      <c r="B26" s="225" t="s">
        <v>221</v>
      </c>
      <c r="C26" s="226">
        <v>2434</v>
      </c>
      <c r="D26" s="227">
        <v>2312.2999999999997</v>
      </c>
      <c r="E26" s="228">
        <f t="shared" si="0"/>
        <v>0.94999999999999984</v>
      </c>
      <c r="F26" s="160">
        <v>0</v>
      </c>
      <c r="G26" s="229">
        <f t="shared" si="1"/>
        <v>1134.7308</v>
      </c>
      <c r="H26" s="228">
        <f t="shared" si="2"/>
        <v>1077.9942599999999</v>
      </c>
      <c r="I26" s="160" t="s">
        <v>123</v>
      </c>
      <c r="J26" s="230">
        <v>41244</v>
      </c>
      <c r="K26" s="231">
        <v>37500</v>
      </c>
      <c r="L26" s="160" t="s">
        <v>56</v>
      </c>
    </row>
    <row r="27" spans="1:12" ht="17.25" customHeight="1" x14ac:dyDescent="0.3">
      <c r="A27" s="224" t="s">
        <v>211</v>
      </c>
      <c r="B27" s="225" t="s">
        <v>221</v>
      </c>
      <c r="C27" s="226">
        <v>754</v>
      </c>
      <c r="D27" s="227">
        <v>716.3</v>
      </c>
      <c r="E27" s="228">
        <f t="shared" si="0"/>
        <v>0.95</v>
      </c>
      <c r="F27" s="160">
        <v>0</v>
      </c>
      <c r="G27" s="229">
        <f t="shared" si="1"/>
        <v>351.51479999999998</v>
      </c>
      <c r="H27" s="228">
        <f t="shared" si="2"/>
        <v>333.93905999999998</v>
      </c>
      <c r="I27" s="160" t="s">
        <v>123</v>
      </c>
      <c r="J27" s="230">
        <v>41091</v>
      </c>
      <c r="K27" s="231">
        <v>39576</v>
      </c>
      <c r="L27" s="160" t="s">
        <v>56</v>
      </c>
    </row>
    <row r="28" spans="1:12" ht="17.25" customHeight="1" x14ac:dyDescent="0.3">
      <c r="A28" s="224" t="s">
        <v>211</v>
      </c>
      <c r="B28" s="225" t="s">
        <v>221</v>
      </c>
      <c r="C28" s="226">
        <v>623</v>
      </c>
      <c r="D28" s="227">
        <v>591.85</v>
      </c>
      <c r="E28" s="228">
        <f t="shared" si="0"/>
        <v>0.95000000000000007</v>
      </c>
      <c r="F28" s="160">
        <v>0</v>
      </c>
      <c r="G28" s="229">
        <f t="shared" si="1"/>
        <v>290.44260000000003</v>
      </c>
      <c r="H28" s="228">
        <f t="shared" si="2"/>
        <v>275.92047000000002</v>
      </c>
      <c r="I28" s="160" t="s">
        <v>123</v>
      </c>
      <c r="J28" s="230">
        <v>41122</v>
      </c>
      <c r="K28" s="231">
        <v>39576</v>
      </c>
      <c r="L28" s="160" t="s">
        <v>56</v>
      </c>
    </row>
    <row r="29" spans="1:12" ht="17.25" customHeight="1" x14ac:dyDescent="0.3">
      <c r="A29" s="224" t="s">
        <v>211</v>
      </c>
      <c r="B29" s="225" t="s">
        <v>221</v>
      </c>
      <c r="C29" s="226">
        <v>406</v>
      </c>
      <c r="D29" s="227">
        <v>385.7</v>
      </c>
      <c r="E29" s="228">
        <f t="shared" si="0"/>
        <v>0.95</v>
      </c>
      <c r="F29" s="160">
        <v>0</v>
      </c>
      <c r="G29" s="229">
        <f t="shared" si="1"/>
        <v>189.27719999999999</v>
      </c>
      <c r="H29" s="228">
        <f t="shared" si="2"/>
        <v>179.81333999999998</v>
      </c>
      <c r="I29" s="160" t="s">
        <v>123</v>
      </c>
      <c r="J29" s="230">
        <v>41153</v>
      </c>
      <c r="K29" s="231">
        <v>39576</v>
      </c>
      <c r="L29" s="160" t="s">
        <v>56</v>
      </c>
    </row>
    <row r="30" spans="1:12" ht="17.25" customHeight="1" x14ac:dyDescent="0.3">
      <c r="A30" s="224" t="s">
        <v>211</v>
      </c>
      <c r="B30" s="225" t="s">
        <v>221</v>
      </c>
      <c r="C30" s="226">
        <v>1067</v>
      </c>
      <c r="D30" s="227">
        <v>1013.65</v>
      </c>
      <c r="E30" s="228">
        <f t="shared" si="0"/>
        <v>0.95</v>
      </c>
      <c r="F30" s="160">
        <v>0</v>
      </c>
      <c r="G30" s="229">
        <f t="shared" si="1"/>
        <v>497.43540000000002</v>
      </c>
      <c r="H30" s="228">
        <f t="shared" si="2"/>
        <v>472.56362999999999</v>
      </c>
      <c r="I30" s="160" t="s">
        <v>123</v>
      </c>
      <c r="J30" s="230">
        <v>41183</v>
      </c>
      <c r="K30" s="231">
        <v>39576</v>
      </c>
      <c r="L30" s="160" t="s">
        <v>56</v>
      </c>
    </row>
    <row r="31" spans="1:12" ht="17.25" customHeight="1" x14ac:dyDescent="0.3">
      <c r="A31" s="224" t="s">
        <v>211</v>
      </c>
      <c r="B31" s="225" t="s">
        <v>221</v>
      </c>
      <c r="C31" s="226">
        <v>781</v>
      </c>
      <c r="D31" s="227">
        <v>741.94999999999993</v>
      </c>
      <c r="E31" s="228">
        <f t="shared" si="0"/>
        <v>0.95</v>
      </c>
      <c r="F31" s="160">
        <v>0</v>
      </c>
      <c r="G31" s="229">
        <f t="shared" si="1"/>
        <v>364.10219999999998</v>
      </c>
      <c r="H31" s="228">
        <f t="shared" si="2"/>
        <v>345.89708999999999</v>
      </c>
      <c r="I31" s="160" t="s">
        <v>123</v>
      </c>
      <c r="J31" s="230">
        <v>41214</v>
      </c>
      <c r="K31" s="231">
        <v>39576</v>
      </c>
      <c r="L31" s="160" t="s">
        <v>56</v>
      </c>
    </row>
    <row r="32" spans="1:12" ht="17.25" customHeight="1" x14ac:dyDescent="0.3">
      <c r="A32" s="224" t="s">
        <v>211</v>
      </c>
      <c r="B32" s="225" t="s">
        <v>221</v>
      </c>
      <c r="C32" s="226">
        <v>1110</v>
      </c>
      <c r="D32" s="227">
        <v>1054.5</v>
      </c>
      <c r="E32" s="228">
        <f t="shared" si="0"/>
        <v>0.95</v>
      </c>
      <c r="F32" s="160">
        <v>0</v>
      </c>
      <c r="G32" s="229">
        <f t="shared" si="1"/>
        <v>517.48199999999997</v>
      </c>
      <c r="H32" s="228">
        <f t="shared" si="2"/>
        <v>491.60789999999997</v>
      </c>
      <c r="I32" s="160" t="s">
        <v>123</v>
      </c>
      <c r="J32" s="230">
        <v>41214</v>
      </c>
      <c r="K32" s="231">
        <v>39576</v>
      </c>
      <c r="L32" s="160" t="s">
        <v>56</v>
      </c>
    </row>
    <row r="33" spans="1:12" ht="17.25" customHeight="1" x14ac:dyDescent="0.3">
      <c r="A33" s="224" t="s">
        <v>211</v>
      </c>
      <c r="B33" s="225" t="s">
        <v>221</v>
      </c>
      <c r="C33" s="226">
        <v>1331</v>
      </c>
      <c r="D33" s="227">
        <v>1264.45</v>
      </c>
      <c r="E33" s="228">
        <f t="shared" si="0"/>
        <v>0.95000000000000007</v>
      </c>
      <c r="F33" s="160">
        <v>0</v>
      </c>
      <c r="G33" s="229">
        <f t="shared" si="1"/>
        <v>620.51220000000001</v>
      </c>
      <c r="H33" s="228">
        <f t="shared" si="2"/>
        <v>589.48659000000009</v>
      </c>
      <c r="I33" s="160" t="s">
        <v>123</v>
      </c>
      <c r="J33" s="230">
        <v>41244</v>
      </c>
      <c r="K33" s="231">
        <v>39576</v>
      </c>
      <c r="L33" s="160" t="s">
        <v>56</v>
      </c>
    </row>
    <row r="34" spans="1:12" ht="17.25" customHeight="1" x14ac:dyDescent="0.3">
      <c r="A34" s="224" t="s">
        <v>211</v>
      </c>
      <c r="B34" s="225" t="s">
        <v>221</v>
      </c>
      <c r="C34" s="226">
        <v>2218</v>
      </c>
      <c r="D34" s="227">
        <v>2107.1</v>
      </c>
      <c r="E34" s="228">
        <f t="shared" si="0"/>
        <v>0.95</v>
      </c>
      <c r="F34" s="160">
        <v>0</v>
      </c>
      <c r="G34" s="229">
        <f t="shared" si="1"/>
        <v>1034.0316</v>
      </c>
      <c r="H34" s="228">
        <f t="shared" si="2"/>
        <v>982.33001999999999</v>
      </c>
      <c r="I34" s="160" t="s">
        <v>123</v>
      </c>
      <c r="J34" s="230">
        <v>41244</v>
      </c>
      <c r="K34" s="231">
        <v>39576</v>
      </c>
      <c r="L34" s="160" t="s">
        <v>56</v>
      </c>
    </row>
    <row r="35" spans="1:12" ht="17.25" customHeight="1" x14ac:dyDescent="0.3">
      <c r="A35" s="224" t="s">
        <v>181</v>
      </c>
      <c r="B35" s="225" t="s">
        <v>185</v>
      </c>
      <c r="C35" s="226">
        <v>177</v>
      </c>
      <c r="D35" s="227">
        <v>159.30000000000001</v>
      </c>
      <c r="E35" s="228">
        <f t="shared" si="0"/>
        <v>0.9</v>
      </c>
      <c r="F35" s="160">
        <v>0</v>
      </c>
      <c r="G35" s="229">
        <f t="shared" si="1"/>
        <v>82.517399999999995</v>
      </c>
      <c r="H35" s="228">
        <f t="shared" si="2"/>
        <v>74.265659999999997</v>
      </c>
      <c r="I35" s="160" t="s">
        <v>123</v>
      </c>
      <c r="J35" s="230">
        <v>41214</v>
      </c>
      <c r="K35" s="231">
        <v>40886</v>
      </c>
      <c r="L35" s="160" t="s">
        <v>56</v>
      </c>
    </row>
    <row r="36" spans="1:12" ht="17.25" customHeight="1" x14ac:dyDescent="0.3">
      <c r="A36" s="224" t="s">
        <v>181</v>
      </c>
      <c r="B36" s="225" t="s">
        <v>185</v>
      </c>
      <c r="C36" s="226">
        <v>11556</v>
      </c>
      <c r="D36" s="227">
        <v>10400.4</v>
      </c>
      <c r="E36" s="228">
        <f t="shared" si="0"/>
        <v>0.9</v>
      </c>
      <c r="F36" s="160">
        <v>0</v>
      </c>
      <c r="G36" s="229">
        <f t="shared" si="1"/>
        <v>5387.4071999999996</v>
      </c>
      <c r="H36" s="228">
        <f t="shared" si="2"/>
        <v>4848.6664799999999</v>
      </c>
      <c r="I36" s="160" t="s">
        <v>123</v>
      </c>
      <c r="J36" s="230">
        <v>41244</v>
      </c>
      <c r="K36" s="231">
        <v>40886</v>
      </c>
      <c r="L36" s="160" t="s">
        <v>56</v>
      </c>
    </row>
    <row r="37" spans="1:12" ht="17.25" customHeight="1" x14ac:dyDescent="0.3">
      <c r="A37" s="224" t="s">
        <v>177</v>
      </c>
      <c r="B37" s="225" t="s">
        <v>124</v>
      </c>
      <c r="C37" s="226">
        <v>6195</v>
      </c>
      <c r="D37" s="227">
        <v>6195</v>
      </c>
      <c r="E37" s="228">
        <f t="shared" si="0"/>
        <v>1</v>
      </c>
      <c r="F37" s="160">
        <v>0</v>
      </c>
      <c r="G37" s="229">
        <f t="shared" si="1"/>
        <v>2888.1089999999999</v>
      </c>
      <c r="H37" s="228">
        <f t="shared" si="2"/>
        <v>2888.1089999999999</v>
      </c>
      <c r="I37" s="160" t="s">
        <v>123</v>
      </c>
      <c r="J37" s="230">
        <v>41244</v>
      </c>
      <c r="K37" s="231">
        <v>40543</v>
      </c>
      <c r="L37" s="160" t="s">
        <v>56</v>
      </c>
    </row>
    <row r="38" spans="1:12" ht="17.25" customHeight="1" x14ac:dyDescent="0.3">
      <c r="A38" s="224" t="s">
        <v>212</v>
      </c>
      <c r="B38" s="225" t="s">
        <v>182</v>
      </c>
      <c r="C38" s="226">
        <v>527</v>
      </c>
      <c r="D38" s="227">
        <v>527</v>
      </c>
      <c r="E38" s="228">
        <f t="shared" si="0"/>
        <v>1</v>
      </c>
      <c r="F38" s="160">
        <v>0</v>
      </c>
      <c r="G38" s="229">
        <f t="shared" si="1"/>
        <v>245.6874</v>
      </c>
      <c r="H38" s="228">
        <f t="shared" si="2"/>
        <v>245.6874</v>
      </c>
      <c r="I38" s="160" t="s">
        <v>123</v>
      </c>
      <c r="J38" s="230">
        <v>41214</v>
      </c>
      <c r="K38" s="231">
        <v>40575</v>
      </c>
      <c r="L38" s="160" t="s">
        <v>56</v>
      </c>
    </row>
    <row r="39" spans="1:12" ht="17.25" customHeight="1" x14ac:dyDescent="0.3">
      <c r="A39" s="224" t="s">
        <v>212</v>
      </c>
      <c r="B39" s="225" t="s">
        <v>182</v>
      </c>
      <c r="C39" s="226">
        <v>2100</v>
      </c>
      <c r="D39" s="227">
        <v>2100</v>
      </c>
      <c r="E39" s="228">
        <f t="shared" si="0"/>
        <v>1</v>
      </c>
      <c r="F39" s="160">
        <v>0</v>
      </c>
      <c r="G39" s="229">
        <f t="shared" si="1"/>
        <v>979.02</v>
      </c>
      <c r="H39" s="228">
        <f t="shared" si="2"/>
        <v>979.02</v>
      </c>
      <c r="I39" s="160" t="s">
        <v>123</v>
      </c>
      <c r="J39" s="230">
        <v>41244</v>
      </c>
      <c r="K39" s="231">
        <v>40575</v>
      </c>
      <c r="L39" s="160" t="s">
        <v>56</v>
      </c>
    </row>
    <row r="40" spans="1:12" ht="17.25" customHeight="1" x14ac:dyDescent="0.3">
      <c r="A40" s="224" t="s">
        <v>213</v>
      </c>
      <c r="B40" s="225" t="s">
        <v>182</v>
      </c>
      <c r="C40" s="226">
        <v>2920</v>
      </c>
      <c r="D40" s="227">
        <v>2920</v>
      </c>
      <c r="E40" s="228">
        <f t="shared" si="0"/>
        <v>1</v>
      </c>
      <c r="F40" s="160">
        <v>0</v>
      </c>
      <c r="G40" s="229">
        <f t="shared" si="1"/>
        <v>1361.3040000000001</v>
      </c>
      <c r="H40" s="228">
        <f t="shared" si="2"/>
        <v>1361.3040000000001</v>
      </c>
      <c r="I40" s="160" t="s">
        <v>123</v>
      </c>
      <c r="J40" s="230">
        <v>41244</v>
      </c>
      <c r="K40" s="231">
        <v>40575</v>
      </c>
      <c r="L40" s="160" t="s">
        <v>56</v>
      </c>
    </row>
    <row r="41" spans="1:12" ht="17.25" customHeight="1" x14ac:dyDescent="0.3">
      <c r="A41" s="224" t="s">
        <v>214</v>
      </c>
      <c r="B41" s="225" t="s">
        <v>183</v>
      </c>
      <c r="C41" s="226">
        <v>3258</v>
      </c>
      <c r="D41" s="227">
        <v>3258</v>
      </c>
      <c r="E41" s="228">
        <f t="shared" si="0"/>
        <v>1</v>
      </c>
      <c r="F41" s="160">
        <v>0</v>
      </c>
      <c r="G41" s="229">
        <f t="shared" si="1"/>
        <v>1518.8796</v>
      </c>
      <c r="H41" s="228">
        <f t="shared" si="2"/>
        <v>1518.8796</v>
      </c>
      <c r="I41" s="160" t="s">
        <v>123</v>
      </c>
      <c r="J41" s="230">
        <v>41244</v>
      </c>
      <c r="K41" s="231">
        <v>40560</v>
      </c>
      <c r="L41" s="160" t="s">
        <v>56</v>
      </c>
    </row>
    <row r="42" spans="1:12" ht="17.25" customHeight="1" x14ac:dyDescent="0.3">
      <c r="A42" s="224" t="s">
        <v>215</v>
      </c>
      <c r="B42" s="225" t="s">
        <v>183</v>
      </c>
      <c r="C42" s="226">
        <v>4661</v>
      </c>
      <c r="D42" s="227">
        <v>4894.05</v>
      </c>
      <c r="E42" s="228">
        <f t="shared" si="0"/>
        <v>1.05</v>
      </c>
      <c r="F42" s="160">
        <v>0</v>
      </c>
      <c r="G42" s="229">
        <f t="shared" si="1"/>
        <v>2172.9582</v>
      </c>
      <c r="H42" s="228">
        <f t="shared" si="2"/>
        <v>2281.6061100000002</v>
      </c>
      <c r="I42" s="160" t="s">
        <v>123</v>
      </c>
      <c r="J42" s="230">
        <v>41244</v>
      </c>
      <c r="K42" s="231">
        <v>39896</v>
      </c>
      <c r="L42" s="160" t="s">
        <v>56</v>
      </c>
    </row>
    <row r="43" spans="1:12" ht="17.25" customHeight="1" x14ac:dyDescent="0.3">
      <c r="A43" s="224" t="s">
        <v>215</v>
      </c>
      <c r="B43" s="225" t="s">
        <v>183</v>
      </c>
      <c r="C43" s="232">
        <v>802</v>
      </c>
      <c r="D43" s="233">
        <v>842.1</v>
      </c>
      <c r="E43" s="228">
        <f t="shared" si="0"/>
        <v>1.05</v>
      </c>
      <c r="F43" s="160">
        <v>0</v>
      </c>
      <c r="G43" s="229">
        <f t="shared" si="1"/>
        <v>373.89240000000001</v>
      </c>
      <c r="H43" s="228">
        <f t="shared" si="2"/>
        <v>392.58702000000005</v>
      </c>
      <c r="I43" s="160" t="s">
        <v>123</v>
      </c>
      <c r="J43" s="230">
        <v>41214</v>
      </c>
      <c r="K43" s="231">
        <v>39896</v>
      </c>
      <c r="L43" s="160" t="s">
        <v>56</v>
      </c>
    </row>
    <row r="44" spans="1:12" ht="17.25" customHeight="1" x14ac:dyDescent="0.3">
      <c r="A44" s="224" t="s">
        <v>216</v>
      </c>
      <c r="B44" s="225" t="s">
        <v>183</v>
      </c>
      <c r="C44" s="232">
        <v>1272</v>
      </c>
      <c r="D44" s="233">
        <v>1335.6000000000001</v>
      </c>
      <c r="E44" s="228">
        <f t="shared" si="0"/>
        <v>1.05</v>
      </c>
      <c r="F44" s="160">
        <v>0</v>
      </c>
      <c r="G44" s="229">
        <f t="shared" si="1"/>
        <v>593.00639999999999</v>
      </c>
      <c r="H44" s="228">
        <f t="shared" si="2"/>
        <v>622.65672000000006</v>
      </c>
      <c r="I44" s="160" t="s">
        <v>123</v>
      </c>
      <c r="J44" s="230">
        <v>41244</v>
      </c>
      <c r="K44" s="231">
        <v>39896</v>
      </c>
      <c r="L44" s="160" t="s">
        <v>56</v>
      </c>
    </row>
    <row r="45" spans="1:12" ht="17.25" customHeight="1" x14ac:dyDescent="0.3">
      <c r="A45" s="224" t="s">
        <v>216</v>
      </c>
      <c r="B45" s="225" t="s">
        <v>183</v>
      </c>
      <c r="C45" s="232">
        <v>1389</v>
      </c>
      <c r="D45" s="233">
        <v>1458.45</v>
      </c>
      <c r="E45" s="228">
        <f t="shared" si="0"/>
        <v>1.05</v>
      </c>
      <c r="F45" s="160">
        <v>0</v>
      </c>
      <c r="G45" s="229">
        <f t="shared" si="1"/>
        <v>647.55179999999996</v>
      </c>
      <c r="H45" s="228">
        <f t="shared" si="2"/>
        <v>679.92939000000001</v>
      </c>
      <c r="I45" s="160" t="s">
        <v>123</v>
      </c>
      <c r="J45" s="234">
        <v>41306</v>
      </c>
      <c r="K45" s="231">
        <v>39896</v>
      </c>
      <c r="L45" s="160" t="s">
        <v>56</v>
      </c>
    </row>
    <row r="46" spans="1:12" ht="17.25" customHeight="1" x14ac:dyDescent="0.3">
      <c r="A46" s="224" t="s">
        <v>216</v>
      </c>
      <c r="B46" s="225" t="s">
        <v>183</v>
      </c>
      <c r="C46" s="232">
        <v>1216</v>
      </c>
      <c r="D46" s="233">
        <v>1276.8</v>
      </c>
      <c r="E46" s="228">
        <f t="shared" si="0"/>
        <v>1.05</v>
      </c>
      <c r="F46" s="160">
        <v>0</v>
      </c>
      <c r="G46" s="229">
        <f t="shared" si="1"/>
        <v>566.89919999999995</v>
      </c>
      <c r="H46" s="228">
        <f t="shared" si="2"/>
        <v>595.24415999999997</v>
      </c>
      <c r="I46" s="160" t="s">
        <v>123</v>
      </c>
      <c r="J46" s="234">
        <v>41244</v>
      </c>
      <c r="K46" s="231">
        <v>39896</v>
      </c>
      <c r="L46" s="160" t="s">
        <v>56</v>
      </c>
    </row>
    <row r="47" spans="1:12" ht="35.1" customHeight="1" x14ac:dyDescent="0.3">
      <c r="A47" s="224" t="s">
        <v>217</v>
      </c>
      <c r="B47" s="225" t="s">
        <v>134</v>
      </c>
      <c r="C47" s="232">
        <v>49</v>
      </c>
      <c r="D47" s="233">
        <v>51.45</v>
      </c>
      <c r="E47" s="228">
        <f t="shared" si="0"/>
        <v>1.05</v>
      </c>
      <c r="F47" s="160">
        <v>0</v>
      </c>
      <c r="G47" s="229">
        <f t="shared" si="1"/>
        <v>22.843800000000002</v>
      </c>
      <c r="H47" s="228">
        <f t="shared" si="2"/>
        <v>23.985990000000001</v>
      </c>
      <c r="I47" s="160" t="s">
        <v>123</v>
      </c>
      <c r="J47" s="230">
        <v>41214</v>
      </c>
      <c r="K47" s="235">
        <v>39387</v>
      </c>
      <c r="L47" s="160" t="s">
        <v>56</v>
      </c>
    </row>
    <row r="48" spans="1:12" x14ac:dyDescent="0.3">
      <c r="A48" s="224" t="s">
        <v>217</v>
      </c>
      <c r="B48" s="225" t="s">
        <v>134</v>
      </c>
      <c r="C48" s="232">
        <v>95</v>
      </c>
      <c r="D48" s="233">
        <v>99.75</v>
      </c>
      <c r="E48" s="228">
        <f t="shared" si="0"/>
        <v>1.05</v>
      </c>
      <c r="F48" s="160">
        <v>0</v>
      </c>
      <c r="G48" s="229">
        <f t="shared" si="1"/>
        <v>44.289000000000001</v>
      </c>
      <c r="H48" s="228">
        <f t="shared" si="2"/>
        <v>46.503450000000001</v>
      </c>
      <c r="I48" s="160" t="s">
        <v>123</v>
      </c>
      <c r="J48" s="230">
        <v>41244</v>
      </c>
      <c r="K48" s="235">
        <v>39387</v>
      </c>
      <c r="L48" s="160" t="s">
        <v>56</v>
      </c>
    </row>
    <row r="49" spans="1:12" ht="17.25" customHeight="1" x14ac:dyDescent="0.3">
      <c r="A49" s="224" t="s">
        <v>217</v>
      </c>
      <c r="B49" s="225" t="s">
        <v>134</v>
      </c>
      <c r="C49" s="232">
        <v>179</v>
      </c>
      <c r="D49" s="233">
        <v>187.95000000000002</v>
      </c>
      <c r="E49" s="228">
        <f t="shared" si="0"/>
        <v>1.05</v>
      </c>
      <c r="F49" s="160">
        <v>0</v>
      </c>
      <c r="G49" s="229">
        <f t="shared" si="1"/>
        <v>83.449799999999996</v>
      </c>
      <c r="H49" s="228">
        <f t="shared" si="2"/>
        <v>87.622290000000007</v>
      </c>
      <c r="I49" s="160" t="s">
        <v>123</v>
      </c>
      <c r="J49" s="234">
        <v>41091</v>
      </c>
      <c r="K49" s="235">
        <v>39387</v>
      </c>
      <c r="L49" s="160" t="s">
        <v>56</v>
      </c>
    </row>
    <row r="50" spans="1:12" ht="17.25" customHeight="1" x14ac:dyDescent="0.3">
      <c r="A50" s="224" t="s">
        <v>217</v>
      </c>
      <c r="B50" s="225" t="s">
        <v>134</v>
      </c>
      <c r="C50" s="232">
        <v>158</v>
      </c>
      <c r="D50" s="233">
        <v>165.9</v>
      </c>
      <c r="E50" s="228">
        <f t="shared" si="0"/>
        <v>1.05</v>
      </c>
      <c r="F50" s="160">
        <v>0</v>
      </c>
      <c r="G50" s="229">
        <f t="shared" si="1"/>
        <v>73.659599999999998</v>
      </c>
      <c r="H50" s="228">
        <f t="shared" si="2"/>
        <v>77.342579999999998</v>
      </c>
      <c r="I50" s="160" t="s">
        <v>123</v>
      </c>
      <c r="J50" s="234">
        <v>41122</v>
      </c>
      <c r="K50" s="235">
        <v>39387</v>
      </c>
      <c r="L50" s="160" t="s">
        <v>56</v>
      </c>
    </row>
    <row r="51" spans="1:12" ht="17.25" customHeight="1" x14ac:dyDescent="0.3">
      <c r="A51" s="224" t="s">
        <v>217</v>
      </c>
      <c r="B51" s="225" t="s">
        <v>134</v>
      </c>
      <c r="C51" s="232">
        <v>103</v>
      </c>
      <c r="D51" s="233">
        <v>108.15</v>
      </c>
      <c r="E51" s="228">
        <f t="shared" si="0"/>
        <v>1.05</v>
      </c>
      <c r="F51" s="160">
        <v>0</v>
      </c>
      <c r="G51" s="229">
        <f t="shared" si="1"/>
        <v>48.018599999999999</v>
      </c>
      <c r="H51" s="228">
        <f t="shared" si="2"/>
        <v>50.419530000000002</v>
      </c>
      <c r="I51" s="160" t="s">
        <v>123</v>
      </c>
      <c r="J51" s="234">
        <v>41153</v>
      </c>
      <c r="K51" s="235">
        <v>39387</v>
      </c>
      <c r="L51" s="160" t="s">
        <v>56</v>
      </c>
    </row>
    <row r="52" spans="1:12" ht="17.25" customHeight="1" x14ac:dyDescent="0.3">
      <c r="A52" s="224" t="s">
        <v>217</v>
      </c>
      <c r="B52" s="225" t="s">
        <v>134</v>
      </c>
      <c r="C52" s="232">
        <v>76</v>
      </c>
      <c r="D52" s="233">
        <v>79.8</v>
      </c>
      <c r="E52" s="228">
        <f t="shared" si="0"/>
        <v>1.05</v>
      </c>
      <c r="F52" s="160">
        <v>0</v>
      </c>
      <c r="G52" s="229">
        <f t="shared" si="1"/>
        <v>35.431199999999997</v>
      </c>
      <c r="H52" s="228">
        <f t="shared" si="2"/>
        <v>37.202759999999998</v>
      </c>
      <c r="I52" s="160" t="s">
        <v>123</v>
      </c>
      <c r="J52" s="234">
        <v>41183</v>
      </c>
      <c r="K52" s="235">
        <v>39387</v>
      </c>
      <c r="L52" s="160" t="s">
        <v>56</v>
      </c>
    </row>
    <row r="53" spans="1:12" x14ac:dyDescent="0.3">
      <c r="A53" s="224" t="s">
        <v>218</v>
      </c>
      <c r="B53" s="225" t="s">
        <v>222</v>
      </c>
      <c r="C53" s="232">
        <v>40000</v>
      </c>
      <c r="D53" s="233">
        <v>42000</v>
      </c>
      <c r="E53" s="228">
        <f t="shared" si="0"/>
        <v>1.05</v>
      </c>
      <c r="F53" s="160">
        <v>0</v>
      </c>
      <c r="G53" s="229">
        <f t="shared" si="1"/>
        <v>18648</v>
      </c>
      <c r="H53" s="228">
        <f t="shared" si="2"/>
        <v>19580.400000000001</v>
      </c>
      <c r="I53" s="160" t="s">
        <v>123</v>
      </c>
      <c r="J53" s="234">
        <v>41365</v>
      </c>
      <c r="K53" s="235">
        <v>41257</v>
      </c>
      <c r="L53" s="160" t="s">
        <v>56</v>
      </c>
    </row>
    <row r="54" spans="1:12" x14ac:dyDescent="0.3">
      <c r="A54" s="224" t="s">
        <v>179</v>
      </c>
      <c r="B54" s="225" t="s">
        <v>184</v>
      </c>
      <c r="C54" s="226">
        <v>1180</v>
      </c>
      <c r="D54" s="227">
        <v>1593</v>
      </c>
      <c r="E54" s="228">
        <f t="shared" si="0"/>
        <v>1.35</v>
      </c>
      <c r="F54" s="160">
        <v>0</v>
      </c>
      <c r="G54" s="229">
        <f t="shared" si="1"/>
        <v>550.11599999999999</v>
      </c>
      <c r="H54" s="228">
        <f t="shared" si="2"/>
        <v>742.65660000000003</v>
      </c>
      <c r="I54" s="160" t="s">
        <v>123</v>
      </c>
      <c r="J54" s="230">
        <v>41275</v>
      </c>
      <c r="K54" s="231">
        <v>37226</v>
      </c>
      <c r="L54" s="160" t="s">
        <v>56</v>
      </c>
    </row>
    <row r="55" spans="1:12" x14ac:dyDescent="0.3">
      <c r="A55" s="224" t="s">
        <v>179</v>
      </c>
      <c r="B55" s="225" t="s">
        <v>184</v>
      </c>
      <c r="C55" s="232">
        <v>1311</v>
      </c>
      <c r="D55" s="233">
        <v>1769.8500000000001</v>
      </c>
      <c r="E55" s="228">
        <f t="shared" si="0"/>
        <v>1.35</v>
      </c>
      <c r="F55" s="160">
        <v>0</v>
      </c>
      <c r="G55" s="229">
        <f t="shared" si="1"/>
        <v>611.18820000000005</v>
      </c>
      <c r="H55" s="228">
        <f t="shared" si="2"/>
        <v>825.10407000000009</v>
      </c>
      <c r="I55" s="160" t="s">
        <v>123</v>
      </c>
      <c r="J55" s="230">
        <v>41334</v>
      </c>
      <c r="K55" s="231">
        <v>37226</v>
      </c>
      <c r="L55" s="160" t="s">
        <v>56</v>
      </c>
    </row>
    <row r="56" spans="1:12" x14ac:dyDescent="0.3">
      <c r="A56" s="224" t="s">
        <v>179</v>
      </c>
      <c r="B56" s="225" t="s">
        <v>184</v>
      </c>
      <c r="C56" s="232">
        <v>1416</v>
      </c>
      <c r="D56" s="233">
        <v>1911.6000000000001</v>
      </c>
      <c r="E56" s="228">
        <f t="shared" si="0"/>
        <v>1.35</v>
      </c>
      <c r="F56" s="160">
        <v>0</v>
      </c>
      <c r="G56" s="229">
        <f t="shared" si="1"/>
        <v>660.13919999999996</v>
      </c>
      <c r="H56" s="228">
        <f t="shared" si="2"/>
        <v>891.18791999999996</v>
      </c>
      <c r="I56" s="160" t="s">
        <v>123</v>
      </c>
      <c r="J56" s="230">
        <v>41306</v>
      </c>
      <c r="K56" s="231">
        <v>37226</v>
      </c>
      <c r="L56" s="160" t="s">
        <v>56</v>
      </c>
    </row>
    <row r="57" spans="1:12" x14ac:dyDescent="0.3">
      <c r="A57" s="224" t="s">
        <v>179</v>
      </c>
      <c r="B57" s="225" t="s">
        <v>184</v>
      </c>
      <c r="C57" s="232">
        <v>1886</v>
      </c>
      <c r="D57" s="233">
        <v>2546.1000000000004</v>
      </c>
      <c r="E57" s="228">
        <f t="shared" si="0"/>
        <v>1.35</v>
      </c>
      <c r="F57" s="160">
        <v>0</v>
      </c>
      <c r="G57" s="229">
        <f t="shared" si="1"/>
        <v>879.25319999999999</v>
      </c>
      <c r="H57" s="228">
        <f t="shared" si="2"/>
        <v>1186.99182</v>
      </c>
      <c r="I57" s="160" t="s">
        <v>123</v>
      </c>
      <c r="J57" s="234">
        <v>41365</v>
      </c>
      <c r="K57" s="231">
        <v>37226</v>
      </c>
      <c r="L57" s="160" t="s">
        <v>56</v>
      </c>
    </row>
    <row r="58" spans="1:12" x14ac:dyDescent="0.3">
      <c r="A58" s="224" t="s">
        <v>180</v>
      </c>
      <c r="B58" s="225" t="s">
        <v>133</v>
      </c>
      <c r="C58" s="232">
        <v>3035</v>
      </c>
      <c r="D58" s="233">
        <v>4097.25</v>
      </c>
      <c r="E58" s="228">
        <f t="shared" si="0"/>
        <v>1.35</v>
      </c>
      <c r="F58" s="160">
        <v>0</v>
      </c>
      <c r="G58" s="229">
        <f t="shared" si="1"/>
        <v>1414.9169999999999</v>
      </c>
      <c r="H58" s="228">
        <f t="shared" si="2"/>
        <v>1910.13795</v>
      </c>
      <c r="I58" s="160" t="s">
        <v>123</v>
      </c>
      <c r="J58" s="234">
        <v>41306</v>
      </c>
      <c r="K58" s="231">
        <v>37239</v>
      </c>
      <c r="L58" s="160" t="s">
        <v>56</v>
      </c>
    </row>
    <row r="59" spans="1:12" x14ac:dyDescent="0.3">
      <c r="A59" s="224" t="s">
        <v>180</v>
      </c>
      <c r="B59" s="225" t="s">
        <v>133</v>
      </c>
      <c r="C59" s="232">
        <v>2634</v>
      </c>
      <c r="D59" s="233">
        <v>3555.9</v>
      </c>
      <c r="E59" s="228">
        <f t="shared" si="0"/>
        <v>1.35</v>
      </c>
      <c r="F59" s="160">
        <v>0</v>
      </c>
      <c r="G59" s="229">
        <f t="shared" si="1"/>
        <v>1227.9708000000001</v>
      </c>
      <c r="H59" s="228">
        <f t="shared" si="2"/>
        <v>1657.7605800000001</v>
      </c>
      <c r="I59" s="160" t="s">
        <v>123</v>
      </c>
      <c r="J59" s="230">
        <v>41334</v>
      </c>
      <c r="K59" s="231">
        <v>37239</v>
      </c>
      <c r="L59" s="160" t="s">
        <v>56</v>
      </c>
    </row>
    <row r="60" spans="1:12" x14ac:dyDescent="0.3">
      <c r="A60" s="224" t="s">
        <v>180</v>
      </c>
      <c r="B60" s="225" t="s">
        <v>133</v>
      </c>
      <c r="C60" s="232">
        <v>3499</v>
      </c>
      <c r="D60" s="233">
        <v>4723.6500000000005</v>
      </c>
      <c r="E60" s="228">
        <f t="shared" si="0"/>
        <v>1.35</v>
      </c>
      <c r="F60" s="160">
        <v>0</v>
      </c>
      <c r="G60" s="229">
        <f t="shared" si="1"/>
        <v>1631.2338</v>
      </c>
      <c r="H60" s="228">
        <f t="shared" si="2"/>
        <v>2202.16563</v>
      </c>
      <c r="I60" s="160" t="s">
        <v>123</v>
      </c>
      <c r="J60" s="230">
        <v>41365</v>
      </c>
      <c r="K60" s="231">
        <v>37239</v>
      </c>
      <c r="L60" s="160" t="s">
        <v>56</v>
      </c>
    </row>
    <row r="61" spans="1:12" x14ac:dyDescent="0.3">
      <c r="A61" s="224" t="s">
        <v>180</v>
      </c>
      <c r="B61" s="225" t="s">
        <v>133</v>
      </c>
      <c r="C61" s="232">
        <v>2065</v>
      </c>
      <c r="D61" s="233">
        <v>2787.75</v>
      </c>
      <c r="E61" s="228">
        <f t="shared" si="0"/>
        <v>1.35</v>
      </c>
      <c r="F61" s="160">
        <v>0</v>
      </c>
      <c r="G61" s="229">
        <f t="shared" si="1"/>
        <v>962.70299999999997</v>
      </c>
      <c r="H61" s="228">
        <f t="shared" si="2"/>
        <v>1299.64905</v>
      </c>
      <c r="I61" s="160" t="s">
        <v>123</v>
      </c>
      <c r="J61" s="230">
        <v>41275</v>
      </c>
      <c r="K61" s="231">
        <v>37239</v>
      </c>
      <c r="L61" s="160" t="s">
        <v>56</v>
      </c>
    </row>
    <row r="62" spans="1:12" x14ac:dyDescent="0.3">
      <c r="A62" s="224" t="s">
        <v>129</v>
      </c>
      <c r="B62" s="225" t="s">
        <v>134</v>
      </c>
      <c r="C62" s="232">
        <v>363</v>
      </c>
      <c r="D62" s="233">
        <v>490.05</v>
      </c>
      <c r="E62" s="228">
        <f t="shared" si="0"/>
        <v>1.35</v>
      </c>
      <c r="F62" s="160">
        <v>0</v>
      </c>
      <c r="G62" s="229">
        <f t="shared" si="1"/>
        <v>169.23060000000001</v>
      </c>
      <c r="H62" s="228">
        <f t="shared" si="2"/>
        <v>228.46131000000003</v>
      </c>
      <c r="I62" s="160" t="s">
        <v>123</v>
      </c>
      <c r="J62" s="234">
        <v>41275</v>
      </c>
      <c r="K62" s="235">
        <v>37257</v>
      </c>
      <c r="L62" s="160" t="s">
        <v>56</v>
      </c>
    </row>
    <row r="63" spans="1:12" x14ac:dyDescent="0.3">
      <c r="A63" s="224" t="s">
        <v>129</v>
      </c>
      <c r="B63" s="225" t="s">
        <v>134</v>
      </c>
      <c r="C63" s="232">
        <v>642</v>
      </c>
      <c r="D63" s="233">
        <v>866.7</v>
      </c>
      <c r="E63" s="228">
        <f t="shared" si="0"/>
        <v>1.35</v>
      </c>
      <c r="F63" s="160">
        <v>0</v>
      </c>
      <c r="G63" s="229">
        <f t="shared" si="1"/>
        <v>299.30040000000002</v>
      </c>
      <c r="H63" s="228">
        <f t="shared" si="2"/>
        <v>404.05554000000006</v>
      </c>
      <c r="I63" s="160" t="s">
        <v>123</v>
      </c>
      <c r="J63" s="234">
        <v>41306</v>
      </c>
      <c r="K63" s="235">
        <v>37257</v>
      </c>
      <c r="L63" s="160" t="s">
        <v>56</v>
      </c>
    </row>
    <row r="64" spans="1:12" x14ac:dyDescent="0.3">
      <c r="A64" s="224" t="s">
        <v>129</v>
      </c>
      <c r="B64" s="225" t="s">
        <v>134</v>
      </c>
      <c r="C64" s="232">
        <v>328</v>
      </c>
      <c r="D64" s="233">
        <v>442.8</v>
      </c>
      <c r="E64" s="228">
        <f t="shared" si="0"/>
        <v>1.35</v>
      </c>
      <c r="F64" s="160">
        <v>0</v>
      </c>
      <c r="G64" s="229">
        <f t="shared" si="1"/>
        <v>152.9136</v>
      </c>
      <c r="H64" s="228">
        <f t="shared" si="2"/>
        <v>206.43336000000002</v>
      </c>
      <c r="I64" s="160" t="s">
        <v>123</v>
      </c>
      <c r="J64" s="234">
        <v>41334</v>
      </c>
      <c r="K64" s="235">
        <v>37257</v>
      </c>
      <c r="L64" s="160" t="s">
        <v>56</v>
      </c>
    </row>
    <row r="65" spans="1:12" x14ac:dyDescent="0.3">
      <c r="A65" s="224" t="s">
        <v>129</v>
      </c>
      <c r="B65" s="225" t="s">
        <v>134</v>
      </c>
      <c r="C65" s="232">
        <v>1178</v>
      </c>
      <c r="D65" s="233">
        <v>1590.3000000000002</v>
      </c>
      <c r="E65" s="228">
        <f t="shared" si="0"/>
        <v>1.35</v>
      </c>
      <c r="F65" s="160">
        <v>0</v>
      </c>
      <c r="G65" s="229">
        <f t="shared" si="1"/>
        <v>549.18359999999996</v>
      </c>
      <c r="H65" s="228">
        <f t="shared" si="2"/>
        <v>741.39786000000004</v>
      </c>
      <c r="I65" s="160" t="s">
        <v>123</v>
      </c>
      <c r="J65" s="234">
        <v>41365</v>
      </c>
      <c r="K65" s="235">
        <v>37257</v>
      </c>
      <c r="L65" s="160" t="s">
        <v>56</v>
      </c>
    </row>
    <row r="66" spans="1:12" x14ac:dyDescent="0.3">
      <c r="A66" s="224" t="s">
        <v>179</v>
      </c>
      <c r="B66" s="225" t="s">
        <v>184</v>
      </c>
      <c r="C66" s="226">
        <v>867</v>
      </c>
      <c r="D66" s="227">
        <v>1170.45</v>
      </c>
      <c r="E66" s="228">
        <f t="shared" si="0"/>
        <v>1.35</v>
      </c>
      <c r="F66" s="160">
        <v>0</v>
      </c>
      <c r="G66" s="229">
        <f t="shared" si="1"/>
        <v>404.19540000000001</v>
      </c>
      <c r="H66" s="228">
        <f t="shared" si="2"/>
        <v>545.66379000000006</v>
      </c>
      <c r="I66" s="160" t="s">
        <v>123</v>
      </c>
      <c r="J66" s="230">
        <v>41395</v>
      </c>
      <c r="K66" s="231">
        <v>37226</v>
      </c>
      <c r="L66" s="160" t="s">
        <v>56</v>
      </c>
    </row>
    <row r="67" spans="1:12" x14ac:dyDescent="0.3">
      <c r="A67" s="224" t="s">
        <v>179</v>
      </c>
      <c r="B67" s="225" t="s">
        <v>184</v>
      </c>
      <c r="C67" s="226">
        <v>689</v>
      </c>
      <c r="D67" s="227">
        <v>930.15000000000009</v>
      </c>
      <c r="E67" s="228">
        <f t="shared" si="0"/>
        <v>1.35</v>
      </c>
      <c r="F67" s="160">
        <v>0</v>
      </c>
      <c r="G67" s="229">
        <f t="shared" si="1"/>
        <v>321.21179999999998</v>
      </c>
      <c r="H67" s="228">
        <f t="shared" si="2"/>
        <v>433.63593000000003</v>
      </c>
      <c r="I67" s="160" t="s">
        <v>123</v>
      </c>
      <c r="J67" s="230">
        <v>41426</v>
      </c>
      <c r="K67" s="231">
        <v>37226</v>
      </c>
      <c r="L67" s="160" t="s">
        <v>56</v>
      </c>
    </row>
    <row r="68" spans="1:12" x14ac:dyDescent="0.3">
      <c r="A68" s="224" t="s">
        <v>179</v>
      </c>
      <c r="B68" s="225" t="s">
        <v>184</v>
      </c>
      <c r="C68" s="226">
        <v>983</v>
      </c>
      <c r="D68" s="227">
        <v>1327.0500000000002</v>
      </c>
      <c r="E68" s="228">
        <f t="shared" si="0"/>
        <v>1.35</v>
      </c>
      <c r="F68" s="160">
        <v>0</v>
      </c>
      <c r="G68" s="229">
        <f t="shared" si="1"/>
        <v>458.27460000000002</v>
      </c>
      <c r="H68" s="228">
        <f t="shared" si="2"/>
        <v>618.6707100000001</v>
      </c>
      <c r="I68" s="160" t="s">
        <v>123</v>
      </c>
      <c r="J68" s="230">
        <v>41456</v>
      </c>
      <c r="K68" s="231">
        <v>37226</v>
      </c>
      <c r="L68" s="160" t="s">
        <v>56</v>
      </c>
    </row>
    <row r="69" spans="1:12" x14ac:dyDescent="0.3">
      <c r="A69" s="224" t="s">
        <v>129</v>
      </c>
      <c r="B69" s="225" t="s">
        <v>134</v>
      </c>
      <c r="C69" s="232">
        <v>801</v>
      </c>
      <c r="D69" s="233">
        <v>1081.3500000000001</v>
      </c>
      <c r="E69" s="228">
        <f t="shared" si="0"/>
        <v>1.35</v>
      </c>
      <c r="F69" s="160">
        <v>0</v>
      </c>
      <c r="G69" s="229">
        <f t="shared" si="1"/>
        <v>373.42619999999999</v>
      </c>
      <c r="H69" s="228">
        <f t="shared" si="2"/>
        <v>504.12537000000003</v>
      </c>
      <c r="I69" s="160" t="s">
        <v>123</v>
      </c>
      <c r="J69" s="234">
        <v>41395</v>
      </c>
      <c r="K69" s="235">
        <v>37257</v>
      </c>
      <c r="L69" s="160" t="s">
        <v>56</v>
      </c>
    </row>
    <row r="70" spans="1:12" x14ac:dyDescent="0.3">
      <c r="A70" s="224" t="s">
        <v>129</v>
      </c>
      <c r="B70" s="225" t="s">
        <v>134</v>
      </c>
      <c r="C70" s="232">
        <v>919</v>
      </c>
      <c r="D70" s="233">
        <v>1240.6500000000001</v>
      </c>
      <c r="E70" s="228">
        <f t="shared" si="0"/>
        <v>1.35</v>
      </c>
      <c r="F70" s="160">
        <v>0</v>
      </c>
      <c r="G70" s="229">
        <f t="shared" si="1"/>
        <v>428.43779999999998</v>
      </c>
      <c r="H70" s="228">
        <f t="shared" si="2"/>
        <v>578.39103</v>
      </c>
      <c r="I70" s="160" t="s">
        <v>123</v>
      </c>
      <c r="J70" s="234">
        <v>41426</v>
      </c>
      <c r="K70" s="235">
        <v>37257</v>
      </c>
      <c r="L70" s="160" t="s">
        <v>56</v>
      </c>
    </row>
    <row r="71" spans="1:12" x14ac:dyDescent="0.3">
      <c r="A71" s="224" t="s">
        <v>129</v>
      </c>
      <c r="B71" s="225" t="s">
        <v>134</v>
      </c>
      <c r="C71" s="232">
        <v>1157</v>
      </c>
      <c r="D71" s="233">
        <v>1561.95</v>
      </c>
      <c r="E71" s="228">
        <f t="shared" si="0"/>
        <v>1.35</v>
      </c>
      <c r="F71" s="160">
        <v>0</v>
      </c>
      <c r="G71" s="229">
        <f t="shared" si="1"/>
        <v>539.39340000000004</v>
      </c>
      <c r="H71" s="228">
        <f t="shared" si="2"/>
        <v>728.18109000000015</v>
      </c>
      <c r="I71" s="160" t="s">
        <v>123</v>
      </c>
      <c r="J71" s="234">
        <v>41456</v>
      </c>
      <c r="K71" s="235">
        <v>37257</v>
      </c>
      <c r="L71" s="160" t="s">
        <v>56</v>
      </c>
    </row>
    <row r="72" spans="1:12" x14ac:dyDescent="0.3">
      <c r="A72" s="224" t="s">
        <v>180</v>
      </c>
      <c r="B72" s="225" t="s">
        <v>133</v>
      </c>
      <c r="C72" s="232">
        <v>5</v>
      </c>
      <c r="D72" s="233">
        <v>6.75</v>
      </c>
      <c r="E72" s="228">
        <f t="shared" si="0"/>
        <v>1.35</v>
      </c>
      <c r="F72" s="160">
        <v>0</v>
      </c>
      <c r="G72" s="229">
        <f t="shared" si="1"/>
        <v>2.331</v>
      </c>
      <c r="H72" s="228">
        <f t="shared" si="2"/>
        <v>3.1468500000000001</v>
      </c>
      <c r="I72" s="160" t="s">
        <v>123</v>
      </c>
      <c r="J72" s="234">
        <v>41395</v>
      </c>
      <c r="K72" s="231">
        <v>37239</v>
      </c>
      <c r="L72" s="160" t="s">
        <v>56</v>
      </c>
    </row>
    <row r="73" spans="1:12" x14ac:dyDescent="0.3">
      <c r="A73" s="224" t="s">
        <v>180</v>
      </c>
      <c r="B73" s="225" t="s">
        <v>133</v>
      </c>
      <c r="C73" s="232">
        <v>2557</v>
      </c>
      <c r="D73" s="233">
        <v>3451.9500000000003</v>
      </c>
      <c r="E73" s="228">
        <f t="shared" si="0"/>
        <v>1.35</v>
      </c>
      <c r="F73" s="160">
        <v>0</v>
      </c>
      <c r="G73" s="229">
        <f t="shared" si="1"/>
        <v>1192.0734</v>
      </c>
      <c r="H73" s="228">
        <f t="shared" si="2"/>
        <v>1609.2990900000002</v>
      </c>
      <c r="I73" s="160" t="s">
        <v>123</v>
      </c>
      <c r="J73" s="230">
        <v>41395</v>
      </c>
      <c r="K73" s="231">
        <v>37239</v>
      </c>
      <c r="L73" s="160" t="s">
        <v>56</v>
      </c>
    </row>
    <row r="74" spans="1:12" x14ac:dyDescent="0.3">
      <c r="A74" s="224" t="s">
        <v>180</v>
      </c>
      <c r="B74" s="225" t="s">
        <v>133</v>
      </c>
      <c r="C74" s="232">
        <v>1729</v>
      </c>
      <c r="D74" s="233">
        <v>2334.15</v>
      </c>
      <c r="E74" s="228">
        <f t="shared" ref="E74:E93" si="3">D74/C74</f>
        <v>1.35</v>
      </c>
      <c r="F74" s="160">
        <v>0</v>
      </c>
      <c r="G74" s="229">
        <f t="shared" si="1"/>
        <v>806.0598</v>
      </c>
      <c r="H74" s="228">
        <f t="shared" si="2"/>
        <v>1088.18073</v>
      </c>
      <c r="I74" s="160" t="s">
        <v>123</v>
      </c>
      <c r="J74" s="230">
        <v>41426</v>
      </c>
      <c r="K74" s="231">
        <v>37239</v>
      </c>
      <c r="L74" s="160" t="s">
        <v>56</v>
      </c>
    </row>
    <row r="75" spans="1:12" x14ac:dyDescent="0.3">
      <c r="A75" s="224" t="s">
        <v>180</v>
      </c>
      <c r="B75" s="225" t="s">
        <v>133</v>
      </c>
      <c r="C75" s="232">
        <v>2093</v>
      </c>
      <c r="D75" s="233">
        <v>2825.55</v>
      </c>
      <c r="E75" s="228">
        <f t="shared" si="3"/>
        <v>1.35</v>
      </c>
      <c r="F75" s="160">
        <v>0</v>
      </c>
      <c r="G75" s="229">
        <f t="shared" ref="G75:G98" si="4">C75*0.4662</f>
        <v>975.75660000000005</v>
      </c>
      <c r="H75" s="228">
        <f t="shared" ref="H75:H99" si="5">G75*E75</f>
        <v>1317.2714100000001</v>
      </c>
      <c r="I75" s="160" t="s">
        <v>123</v>
      </c>
      <c r="J75" s="230">
        <v>41456</v>
      </c>
      <c r="K75" s="231">
        <v>37239</v>
      </c>
      <c r="L75" s="160" t="s">
        <v>56</v>
      </c>
    </row>
    <row r="76" spans="1:12" x14ac:dyDescent="0.3">
      <c r="A76" s="224" t="s">
        <v>219</v>
      </c>
      <c r="B76" s="225" t="s">
        <v>182</v>
      </c>
      <c r="C76" s="226">
        <v>3031</v>
      </c>
      <c r="D76" s="227">
        <v>3940.3</v>
      </c>
      <c r="E76" s="228">
        <f t="shared" si="3"/>
        <v>1.3</v>
      </c>
      <c r="F76" s="160">
        <v>0</v>
      </c>
      <c r="G76" s="229">
        <f t="shared" si="4"/>
        <v>1413.0522000000001</v>
      </c>
      <c r="H76" s="228">
        <f t="shared" si="5"/>
        <v>1836.9678600000002</v>
      </c>
      <c r="I76" s="160" t="s">
        <v>123</v>
      </c>
      <c r="J76" s="230">
        <v>41395</v>
      </c>
      <c r="K76" s="231">
        <v>40575</v>
      </c>
      <c r="L76" s="160" t="s">
        <v>56</v>
      </c>
    </row>
    <row r="77" spans="1:12" x14ac:dyDescent="0.3">
      <c r="A77" s="224" t="s">
        <v>219</v>
      </c>
      <c r="B77" s="225" t="s">
        <v>182</v>
      </c>
      <c r="C77" s="226">
        <v>2913</v>
      </c>
      <c r="D77" s="227">
        <v>3786.9</v>
      </c>
      <c r="E77" s="228">
        <f t="shared" si="3"/>
        <v>1.3</v>
      </c>
      <c r="F77" s="160">
        <v>0</v>
      </c>
      <c r="G77" s="229">
        <f t="shared" si="4"/>
        <v>1358.0406</v>
      </c>
      <c r="H77" s="228">
        <f t="shared" si="5"/>
        <v>1765.4527800000001</v>
      </c>
      <c r="I77" s="160" t="s">
        <v>123</v>
      </c>
      <c r="J77" s="230">
        <v>41395</v>
      </c>
      <c r="K77" s="231">
        <v>40575</v>
      </c>
      <c r="L77" s="160" t="s">
        <v>56</v>
      </c>
    </row>
    <row r="78" spans="1:12" x14ac:dyDescent="0.3">
      <c r="A78" s="224" t="s">
        <v>213</v>
      </c>
      <c r="B78" s="225" t="s">
        <v>182</v>
      </c>
      <c r="C78" s="226">
        <v>6069</v>
      </c>
      <c r="D78" s="227">
        <v>7889.7</v>
      </c>
      <c r="E78" s="228">
        <f t="shared" si="3"/>
        <v>1.3</v>
      </c>
      <c r="F78" s="160">
        <v>0</v>
      </c>
      <c r="G78" s="229">
        <f t="shared" si="4"/>
        <v>2829.3678</v>
      </c>
      <c r="H78" s="228">
        <f t="shared" si="5"/>
        <v>3678.17814</v>
      </c>
      <c r="I78" s="160" t="s">
        <v>123</v>
      </c>
      <c r="J78" s="230">
        <v>41395</v>
      </c>
      <c r="K78" s="231">
        <v>40575</v>
      </c>
      <c r="L78" s="160" t="s">
        <v>56</v>
      </c>
    </row>
    <row r="79" spans="1:12" x14ac:dyDescent="0.3">
      <c r="A79" s="224" t="s">
        <v>206</v>
      </c>
      <c r="B79" s="225" t="s">
        <v>183</v>
      </c>
      <c r="C79" s="226">
        <v>6143</v>
      </c>
      <c r="D79" s="227">
        <v>7985.9000000000005</v>
      </c>
      <c r="E79" s="228">
        <f t="shared" si="3"/>
        <v>1.3</v>
      </c>
      <c r="F79" s="160">
        <v>0</v>
      </c>
      <c r="G79" s="229">
        <f t="shared" si="4"/>
        <v>2863.8665999999998</v>
      </c>
      <c r="H79" s="228">
        <f t="shared" si="5"/>
        <v>3723.0265799999997</v>
      </c>
      <c r="I79" s="160" t="s">
        <v>123</v>
      </c>
      <c r="J79" s="230">
        <v>41395</v>
      </c>
      <c r="K79" s="231">
        <v>40543</v>
      </c>
      <c r="L79" s="160" t="s">
        <v>56</v>
      </c>
    </row>
    <row r="80" spans="1:12" x14ac:dyDescent="0.3">
      <c r="A80" s="224" t="s">
        <v>207</v>
      </c>
      <c r="B80" s="225" t="s">
        <v>183</v>
      </c>
      <c r="C80" s="226">
        <v>6560</v>
      </c>
      <c r="D80" s="227">
        <v>8528</v>
      </c>
      <c r="E80" s="228">
        <f t="shared" si="3"/>
        <v>1.3</v>
      </c>
      <c r="F80" s="160">
        <v>0</v>
      </c>
      <c r="G80" s="229">
        <f t="shared" si="4"/>
        <v>3058.2719999999999</v>
      </c>
      <c r="H80" s="228">
        <f t="shared" si="5"/>
        <v>3975.7536</v>
      </c>
      <c r="I80" s="160" t="s">
        <v>123</v>
      </c>
      <c r="J80" s="230">
        <v>41395</v>
      </c>
      <c r="K80" s="231">
        <v>40655</v>
      </c>
      <c r="L80" s="160" t="s">
        <v>56</v>
      </c>
    </row>
    <row r="81" spans="1:12" x14ac:dyDescent="0.3">
      <c r="A81" s="224" t="s">
        <v>178</v>
      </c>
      <c r="B81" s="225" t="s">
        <v>183</v>
      </c>
      <c r="C81" s="226">
        <v>5284</v>
      </c>
      <c r="D81" s="227">
        <v>6869.2</v>
      </c>
      <c r="E81" s="228">
        <f t="shared" si="3"/>
        <v>1.3</v>
      </c>
      <c r="F81" s="160">
        <v>0</v>
      </c>
      <c r="G81" s="229">
        <f t="shared" si="4"/>
        <v>2463.4007999999999</v>
      </c>
      <c r="H81" s="228">
        <f t="shared" si="5"/>
        <v>3202.4210400000002</v>
      </c>
      <c r="I81" s="160" t="s">
        <v>123</v>
      </c>
      <c r="J81" s="230">
        <v>41395</v>
      </c>
      <c r="K81" s="231">
        <v>40543</v>
      </c>
      <c r="L81" s="160" t="s">
        <v>56</v>
      </c>
    </row>
    <row r="82" spans="1:12" x14ac:dyDescent="0.3">
      <c r="A82" s="224" t="s">
        <v>210</v>
      </c>
      <c r="B82" s="225" t="s">
        <v>221</v>
      </c>
      <c r="C82" s="232">
        <v>1851</v>
      </c>
      <c r="D82" s="233">
        <v>2591.3999999999996</v>
      </c>
      <c r="E82" s="228">
        <f t="shared" si="3"/>
        <v>1.4</v>
      </c>
      <c r="F82" s="160">
        <v>0</v>
      </c>
      <c r="G82" s="229">
        <f t="shared" si="4"/>
        <v>862.93619999999999</v>
      </c>
      <c r="H82" s="228">
        <f t="shared" si="5"/>
        <v>1208.11068</v>
      </c>
      <c r="I82" s="160" t="s">
        <v>123</v>
      </c>
      <c r="J82" s="234">
        <v>41275</v>
      </c>
      <c r="K82" s="231">
        <v>37500</v>
      </c>
      <c r="L82" s="160" t="s">
        <v>56</v>
      </c>
    </row>
    <row r="83" spans="1:12" x14ac:dyDescent="0.3">
      <c r="A83" s="224" t="s">
        <v>210</v>
      </c>
      <c r="B83" s="225" t="s">
        <v>221</v>
      </c>
      <c r="C83" s="232">
        <v>1381</v>
      </c>
      <c r="D83" s="233">
        <v>1933.3999999999999</v>
      </c>
      <c r="E83" s="228">
        <f t="shared" si="3"/>
        <v>1.4</v>
      </c>
      <c r="F83" s="160">
        <v>0</v>
      </c>
      <c r="G83" s="229">
        <f t="shared" si="4"/>
        <v>643.82219999999995</v>
      </c>
      <c r="H83" s="228">
        <f t="shared" si="5"/>
        <v>901.35107999999991</v>
      </c>
      <c r="I83" s="160" t="s">
        <v>123</v>
      </c>
      <c r="J83" s="230">
        <v>41306</v>
      </c>
      <c r="K83" s="231">
        <v>37500</v>
      </c>
      <c r="L83" s="160" t="s">
        <v>56</v>
      </c>
    </row>
    <row r="84" spans="1:12" x14ac:dyDescent="0.3">
      <c r="A84" s="224" t="s">
        <v>210</v>
      </c>
      <c r="B84" s="225" t="s">
        <v>221</v>
      </c>
      <c r="C84" s="232">
        <v>2690</v>
      </c>
      <c r="D84" s="233">
        <v>3765.9999999999995</v>
      </c>
      <c r="E84" s="228">
        <f t="shared" si="3"/>
        <v>1.4</v>
      </c>
      <c r="F84" s="160">
        <v>0</v>
      </c>
      <c r="G84" s="229">
        <f t="shared" si="4"/>
        <v>1254.078</v>
      </c>
      <c r="H84" s="228">
        <f t="shared" si="5"/>
        <v>1755.7091999999998</v>
      </c>
      <c r="I84" s="160" t="s">
        <v>123</v>
      </c>
      <c r="J84" s="230">
        <v>41334</v>
      </c>
      <c r="K84" s="231">
        <v>37500</v>
      </c>
      <c r="L84" s="160" t="s">
        <v>56</v>
      </c>
    </row>
    <row r="85" spans="1:12" x14ac:dyDescent="0.3">
      <c r="A85" s="224" t="s">
        <v>210</v>
      </c>
      <c r="B85" s="225" t="s">
        <v>221</v>
      </c>
      <c r="C85" s="232">
        <v>2996</v>
      </c>
      <c r="D85" s="233">
        <v>4194.3999999999996</v>
      </c>
      <c r="E85" s="228">
        <f t="shared" si="3"/>
        <v>1.4</v>
      </c>
      <c r="F85" s="160">
        <v>0</v>
      </c>
      <c r="G85" s="229">
        <f t="shared" si="4"/>
        <v>1396.7352000000001</v>
      </c>
      <c r="H85" s="228">
        <f t="shared" si="5"/>
        <v>1955.4292800000001</v>
      </c>
      <c r="I85" s="160" t="s">
        <v>123</v>
      </c>
      <c r="J85" s="234">
        <v>41365</v>
      </c>
      <c r="K85" s="231">
        <v>37500</v>
      </c>
      <c r="L85" s="160" t="s">
        <v>56</v>
      </c>
    </row>
    <row r="86" spans="1:12" x14ac:dyDescent="0.3">
      <c r="A86" s="224" t="s">
        <v>210</v>
      </c>
      <c r="B86" s="225" t="s">
        <v>221</v>
      </c>
      <c r="C86" s="232">
        <v>1940</v>
      </c>
      <c r="D86" s="233">
        <v>2716</v>
      </c>
      <c r="E86" s="228">
        <f t="shared" si="3"/>
        <v>1.4</v>
      </c>
      <c r="F86" s="160">
        <v>0</v>
      </c>
      <c r="G86" s="229">
        <f t="shared" si="4"/>
        <v>904.428</v>
      </c>
      <c r="H86" s="228">
        <f t="shared" si="5"/>
        <v>1266.1992</v>
      </c>
      <c r="I86" s="160" t="s">
        <v>123</v>
      </c>
      <c r="J86" s="234">
        <v>41395</v>
      </c>
      <c r="K86" s="231">
        <v>37500</v>
      </c>
      <c r="L86" s="160" t="s">
        <v>56</v>
      </c>
    </row>
    <row r="87" spans="1:12" x14ac:dyDescent="0.3">
      <c r="A87" s="224" t="s">
        <v>210</v>
      </c>
      <c r="B87" s="225" t="s">
        <v>221</v>
      </c>
      <c r="C87" s="232">
        <v>1330</v>
      </c>
      <c r="D87" s="233">
        <v>1861.9999999999998</v>
      </c>
      <c r="E87" s="228">
        <f t="shared" si="3"/>
        <v>1.4</v>
      </c>
      <c r="F87" s="160">
        <v>0</v>
      </c>
      <c r="G87" s="229">
        <f t="shared" si="4"/>
        <v>620.04600000000005</v>
      </c>
      <c r="H87" s="228">
        <f t="shared" si="5"/>
        <v>868.06439999999998</v>
      </c>
      <c r="I87" s="160" t="s">
        <v>123</v>
      </c>
      <c r="J87" s="234">
        <v>41426</v>
      </c>
      <c r="K87" s="231">
        <v>37500</v>
      </c>
      <c r="L87" s="160" t="s">
        <v>56</v>
      </c>
    </row>
    <row r="88" spans="1:12" x14ac:dyDescent="0.3">
      <c r="A88" s="224" t="s">
        <v>211</v>
      </c>
      <c r="B88" s="225" t="s">
        <v>221</v>
      </c>
      <c r="C88" s="232">
        <v>976</v>
      </c>
      <c r="D88" s="233">
        <v>1366.3999999999999</v>
      </c>
      <c r="E88" s="228">
        <f t="shared" si="3"/>
        <v>1.4</v>
      </c>
      <c r="F88" s="160">
        <v>0</v>
      </c>
      <c r="G88" s="229">
        <f t="shared" si="4"/>
        <v>455.01120000000003</v>
      </c>
      <c r="H88" s="228">
        <f t="shared" si="5"/>
        <v>637.01567999999997</v>
      </c>
      <c r="I88" s="160" t="s">
        <v>123</v>
      </c>
      <c r="J88" s="234">
        <v>41275</v>
      </c>
      <c r="K88" s="231">
        <v>39576</v>
      </c>
      <c r="L88" s="160" t="s">
        <v>56</v>
      </c>
    </row>
    <row r="89" spans="1:12" x14ac:dyDescent="0.3">
      <c r="A89" s="224" t="s">
        <v>211</v>
      </c>
      <c r="B89" s="225" t="s">
        <v>221</v>
      </c>
      <c r="C89" s="232">
        <v>1311</v>
      </c>
      <c r="D89" s="233">
        <v>1835.3999999999999</v>
      </c>
      <c r="E89" s="228">
        <f t="shared" si="3"/>
        <v>1.4</v>
      </c>
      <c r="F89" s="160">
        <v>0</v>
      </c>
      <c r="G89" s="229">
        <f t="shared" si="4"/>
        <v>611.18820000000005</v>
      </c>
      <c r="H89" s="228">
        <f t="shared" si="5"/>
        <v>855.66348000000005</v>
      </c>
      <c r="I89" s="160" t="s">
        <v>123</v>
      </c>
      <c r="J89" s="234">
        <v>41365</v>
      </c>
      <c r="K89" s="231">
        <v>39576</v>
      </c>
      <c r="L89" s="160" t="s">
        <v>56</v>
      </c>
    </row>
    <row r="90" spans="1:12" x14ac:dyDescent="0.3">
      <c r="A90" s="224" t="s">
        <v>220</v>
      </c>
      <c r="B90" s="225" t="s">
        <v>221</v>
      </c>
      <c r="C90" s="232">
        <v>22170</v>
      </c>
      <c r="D90" s="233">
        <v>22170</v>
      </c>
      <c r="E90" s="228">
        <f t="shared" si="3"/>
        <v>1</v>
      </c>
      <c r="F90" s="160">
        <v>0</v>
      </c>
      <c r="G90" s="229">
        <f t="shared" si="4"/>
        <v>10335.654</v>
      </c>
      <c r="H90" s="228">
        <f t="shared" si="5"/>
        <v>10335.654</v>
      </c>
      <c r="I90" s="160" t="s">
        <v>123</v>
      </c>
      <c r="J90" s="234">
        <v>41091</v>
      </c>
      <c r="K90" s="231">
        <v>37500</v>
      </c>
      <c r="L90" s="160" t="s">
        <v>56</v>
      </c>
    </row>
    <row r="91" spans="1:12" x14ac:dyDescent="0.3">
      <c r="A91" s="224" t="s">
        <v>220</v>
      </c>
      <c r="B91" s="225" t="s">
        <v>221</v>
      </c>
      <c r="C91" s="232">
        <v>23942</v>
      </c>
      <c r="D91" s="233">
        <v>23942</v>
      </c>
      <c r="E91" s="228">
        <f t="shared" si="3"/>
        <v>1</v>
      </c>
      <c r="F91" s="160">
        <v>0</v>
      </c>
      <c r="G91" s="229">
        <f t="shared" si="4"/>
        <v>11161.760399999999</v>
      </c>
      <c r="H91" s="228">
        <f t="shared" si="5"/>
        <v>11161.760399999999</v>
      </c>
      <c r="I91" s="160" t="s">
        <v>123</v>
      </c>
      <c r="J91" s="230">
        <v>41122</v>
      </c>
      <c r="K91" s="231">
        <v>37500</v>
      </c>
      <c r="L91" s="160" t="s">
        <v>56</v>
      </c>
    </row>
    <row r="92" spans="1:12" x14ac:dyDescent="0.3">
      <c r="A92" s="224" t="s">
        <v>220</v>
      </c>
      <c r="B92" s="225" t="s">
        <v>221</v>
      </c>
      <c r="C92" s="232">
        <v>17681</v>
      </c>
      <c r="D92" s="233">
        <v>17681</v>
      </c>
      <c r="E92" s="228">
        <f t="shared" si="3"/>
        <v>1</v>
      </c>
      <c r="F92" s="160">
        <v>0</v>
      </c>
      <c r="G92" s="229">
        <f t="shared" si="4"/>
        <v>8242.8822</v>
      </c>
      <c r="H92" s="228">
        <f t="shared" si="5"/>
        <v>8242.8822</v>
      </c>
      <c r="I92" s="160" t="s">
        <v>123</v>
      </c>
      <c r="J92" s="230">
        <v>41153</v>
      </c>
      <c r="K92" s="231">
        <v>37500</v>
      </c>
      <c r="L92" s="160" t="s">
        <v>56</v>
      </c>
    </row>
    <row r="93" spans="1:12" x14ac:dyDescent="0.3">
      <c r="A93" s="224" t="s">
        <v>220</v>
      </c>
      <c r="B93" s="225" t="s">
        <v>221</v>
      </c>
      <c r="C93" s="232">
        <v>32566</v>
      </c>
      <c r="D93" s="233">
        <v>32566</v>
      </c>
      <c r="E93" s="228">
        <f t="shared" si="3"/>
        <v>1</v>
      </c>
      <c r="F93" s="160">
        <v>0</v>
      </c>
      <c r="G93" s="229">
        <f t="shared" si="4"/>
        <v>15182.269200000001</v>
      </c>
      <c r="H93" s="228">
        <f t="shared" si="5"/>
        <v>15182.269200000001</v>
      </c>
      <c r="I93" s="160" t="s">
        <v>123</v>
      </c>
      <c r="J93" s="234">
        <v>41183</v>
      </c>
      <c r="K93" s="231">
        <v>37500</v>
      </c>
      <c r="L93" s="160" t="s">
        <v>56</v>
      </c>
    </row>
    <row r="94" spans="1:12" x14ac:dyDescent="0.3">
      <c r="A94" s="224" t="s">
        <v>135</v>
      </c>
      <c r="B94" s="225" t="s">
        <v>134</v>
      </c>
      <c r="C94" s="232">
        <v>3641</v>
      </c>
      <c r="D94" s="233">
        <v>3641</v>
      </c>
      <c r="E94" s="228">
        <f>D94/C94</f>
        <v>1</v>
      </c>
      <c r="F94" s="160">
        <v>0</v>
      </c>
      <c r="G94" s="229">
        <f t="shared" si="4"/>
        <v>1697.4341999999999</v>
      </c>
      <c r="H94" s="228">
        <f t="shared" si="5"/>
        <v>1697.4341999999999</v>
      </c>
      <c r="I94" s="160" t="s">
        <v>123</v>
      </c>
      <c r="J94" s="234">
        <v>41244</v>
      </c>
      <c r="K94" s="231">
        <v>37500</v>
      </c>
      <c r="L94" s="160" t="s">
        <v>56</v>
      </c>
    </row>
    <row r="95" spans="1:12" x14ac:dyDescent="0.3">
      <c r="A95" s="224" t="s">
        <v>355</v>
      </c>
      <c r="B95" s="225" t="s">
        <v>183</v>
      </c>
      <c r="C95" s="232">
        <v>2705</v>
      </c>
      <c r="D95" s="233">
        <v>5004.25</v>
      </c>
      <c r="E95" s="228">
        <f t="shared" ref="E95:E97" si="6">D95/C95</f>
        <v>1.85</v>
      </c>
      <c r="F95" s="160"/>
      <c r="G95" s="229"/>
      <c r="H95" s="228"/>
      <c r="I95" s="160"/>
      <c r="J95" s="234">
        <v>41365</v>
      </c>
      <c r="K95" s="231">
        <v>38384</v>
      </c>
      <c r="L95" s="160" t="s">
        <v>56</v>
      </c>
    </row>
    <row r="96" spans="1:12" x14ac:dyDescent="0.3">
      <c r="A96" s="224" t="s">
        <v>355</v>
      </c>
      <c r="B96" s="225" t="s">
        <v>183</v>
      </c>
      <c r="C96" s="232">
        <v>2522</v>
      </c>
      <c r="D96" s="233">
        <v>4665.7</v>
      </c>
      <c r="E96" s="228">
        <f t="shared" si="6"/>
        <v>1.8499999999999999</v>
      </c>
      <c r="F96" s="160"/>
      <c r="G96" s="229"/>
      <c r="H96" s="228"/>
      <c r="I96" s="160"/>
      <c r="J96" s="234">
        <v>41395</v>
      </c>
      <c r="K96" s="231">
        <v>38384</v>
      </c>
      <c r="L96" s="160" t="s">
        <v>56</v>
      </c>
    </row>
    <row r="97" spans="1:12" x14ac:dyDescent="0.3">
      <c r="A97" s="224" t="s">
        <v>355</v>
      </c>
      <c r="B97" s="225" t="s">
        <v>183</v>
      </c>
      <c r="C97" s="232">
        <v>578</v>
      </c>
      <c r="D97" s="233">
        <v>1069.3</v>
      </c>
      <c r="E97" s="228">
        <f t="shared" si="6"/>
        <v>1.8499999999999999</v>
      </c>
      <c r="F97" s="160"/>
      <c r="G97" s="229"/>
      <c r="H97" s="228"/>
      <c r="I97" s="160"/>
      <c r="J97" s="234">
        <v>41426</v>
      </c>
      <c r="K97" s="231">
        <v>38384</v>
      </c>
      <c r="L97" s="160" t="s">
        <v>56</v>
      </c>
    </row>
    <row r="98" spans="1:12" ht="60" x14ac:dyDescent="0.3">
      <c r="A98" s="192" t="s">
        <v>310</v>
      </c>
      <c r="B98" s="198" t="s">
        <v>185</v>
      </c>
      <c r="C98" s="236">
        <v>100000</v>
      </c>
      <c r="D98" s="227">
        <f>1.1*C98</f>
        <v>110000.00000000001</v>
      </c>
      <c r="E98" s="237">
        <v>1.1000000000000001</v>
      </c>
      <c r="F98" s="160">
        <v>0</v>
      </c>
      <c r="G98" s="238">
        <f t="shared" si="4"/>
        <v>46620</v>
      </c>
      <c r="H98" s="228">
        <f t="shared" si="5"/>
        <v>51282.000000000007</v>
      </c>
      <c r="I98" s="77"/>
      <c r="J98" s="239" t="s">
        <v>311</v>
      </c>
      <c r="K98" s="231">
        <v>40886</v>
      </c>
      <c r="L98" s="160" t="s">
        <v>56</v>
      </c>
    </row>
    <row r="99" spans="1:12" s="247" customFormat="1" ht="17.25" customHeight="1" x14ac:dyDescent="0.3">
      <c r="A99" s="240" t="s">
        <v>280</v>
      </c>
      <c r="B99" s="241"/>
      <c r="C99" s="242">
        <f>SUM(C10:C98)</f>
        <v>410561</v>
      </c>
      <c r="D99" s="243">
        <f>SUM(D10:D98)</f>
        <v>451267.24999999994</v>
      </c>
      <c r="E99" s="228">
        <f>D99/C99</f>
        <v>1.0991478732758346</v>
      </c>
      <c r="F99" s="244">
        <f t="shared" ref="F99" si="7">SUM(F50:F98)</f>
        <v>0</v>
      </c>
      <c r="G99" s="244">
        <f>SUM(G10:G98)</f>
        <v>188697.24719999995</v>
      </c>
      <c r="H99" s="228">
        <f t="shared" si="5"/>
        <v>207406.17795288438</v>
      </c>
      <c r="I99" s="245"/>
      <c r="J99" s="245"/>
      <c r="K99" s="246"/>
      <c r="L99" s="245"/>
    </row>
    <row r="102" spans="1:12" ht="15.75" x14ac:dyDescent="0.3">
      <c r="A102" s="188"/>
      <c r="B102" s="6"/>
      <c r="C102" s="6"/>
      <c r="D102" s="6"/>
      <c r="E102" s="6"/>
      <c r="F102" s="6"/>
      <c r="G102" s="6"/>
      <c r="H102" s="6"/>
      <c r="K102" s="6"/>
    </row>
    <row r="103" spans="1:12" ht="15.75" x14ac:dyDescent="0.3">
      <c r="A103" s="188"/>
      <c r="B103" s="6"/>
      <c r="C103" s="6"/>
      <c r="D103" s="6"/>
      <c r="E103" s="6"/>
      <c r="F103" s="6"/>
      <c r="G103" s="6"/>
      <c r="H103" s="6"/>
      <c r="K103" s="6"/>
    </row>
    <row r="104" spans="1:12" ht="15.75" x14ac:dyDescent="0.3">
      <c r="A104" s="188"/>
      <c r="B104" s="6"/>
      <c r="C104" s="6"/>
      <c r="D104" s="6"/>
      <c r="E104" s="6"/>
      <c r="F104" s="6"/>
      <c r="G104" s="6"/>
      <c r="H104" s="6"/>
      <c r="K104" s="6"/>
    </row>
    <row r="105" spans="1:12" ht="15.75" x14ac:dyDescent="0.3">
      <c r="A105" s="188"/>
      <c r="B105" s="6"/>
      <c r="C105" s="6"/>
      <c r="D105" s="6"/>
      <c r="E105" s="6"/>
      <c r="F105" s="6"/>
      <c r="G105" s="6"/>
      <c r="H105" s="6"/>
      <c r="K105" s="6"/>
    </row>
  </sheetData>
  <autoFilter ref="A9:L9"/>
  <mergeCells count="4">
    <mergeCell ref="A3:L3"/>
    <mergeCell ref="A4:L4"/>
    <mergeCell ref="C5:D5"/>
    <mergeCell ref="I5:L5"/>
  </mergeCells>
  <pageMargins left="0.7" right="0.7" top="0.75" bottom="0.75" header="0.3" footer="0.3"/>
  <pageSetup scale="43" orientation="landscape" r:id="rId1"/>
  <rowBreaks count="1" manualBreakCount="1">
    <brk id="46"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1"/>
  <sheetViews>
    <sheetView showGridLines="0" view="pageBreakPreview" topLeftCell="A86" zoomScale="50" zoomScaleNormal="100" zoomScaleSheetLayoutView="50" workbookViewId="0">
      <selection activeCell="F10" sqref="F10"/>
    </sheetView>
  </sheetViews>
  <sheetFormatPr defaultColWidth="8.85546875" defaultRowHeight="15" x14ac:dyDescent="0.2"/>
  <cols>
    <col min="1" max="1" width="8.85546875" style="95"/>
    <col min="2" max="2" width="80" style="95" customWidth="1"/>
    <col min="3" max="3" width="20.85546875" style="95" customWidth="1"/>
    <col min="4" max="4" width="18" style="95" customWidth="1"/>
    <col min="5" max="5" width="23.7109375" style="98" customWidth="1"/>
    <col min="6" max="6" width="15.7109375" style="127" bestFit="1" customWidth="1"/>
    <col min="7" max="7" width="32.140625" style="95" customWidth="1"/>
    <col min="8" max="8" width="24.7109375" style="98" customWidth="1"/>
    <col min="9" max="10" width="8.85546875" style="95"/>
    <col min="11" max="11" width="10.85546875" style="95" bestFit="1" customWidth="1"/>
    <col min="12" max="16384" width="8.85546875" style="95"/>
  </cols>
  <sheetData>
    <row r="1" spans="2:8" x14ac:dyDescent="0.2">
      <c r="B1" s="94" t="s">
        <v>3</v>
      </c>
      <c r="C1" s="94"/>
      <c r="D1" s="94"/>
      <c r="E1" s="94"/>
      <c r="F1" s="176"/>
      <c r="G1" s="94"/>
      <c r="H1" s="252"/>
    </row>
    <row r="2" spans="2:8" x14ac:dyDescent="0.2">
      <c r="B2" s="94" t="s">
        <v>112</v>
      </c>
      <c r="C2" s="94"/>
      <c r="D2" s="94"/>
      <c r="E2" s="94"/>
      <c r="F2" s="176"/>
      <c r="G2" s="94"/>
      <c r="H2" s="252"/>
    </row>
    <row r="3" spans="2:8" x14ac:dyDescent="0.2">
      <c r="B3" s="94" t="s">
        <v>113</v>
      </c>
      <c r="C3" s="94"/>
      <c r="D3" s="94"/>
      <c r="E3" s="94"/>
      <c r="F3" s="176"/>
      <c r="G3" s="94"/>
      <c r="H3" s="252"/>
    </row>
    <row r="4" spans="2:8" x14ac:dyDescent="0.2">
      <c r="B4" s="94" t="s">
        <v>201</v>
      </c>
      <c r="C4" s="94"/>
      <c r="D4" s="94"/>
      <c r="E4" s="94"/>
      <c r="F4" s="176"/>
      <c r="G4" s="94"/>
      <c r="H4" s="252"/>
    </row>
    <row r="7" spans="2:8" x14ac:dyDescent="0.2">
      <c r="B7" s="96"/>
      <c r="C7" s="96" t="s">
        <v>114</v>
      </c>
      <c r="D7" s="96" t="s">
        <v>115</v>
      </c>
      <c r="E7" s="97"/>
      <c r="F7" s="177"/>
      <c r="G7" s="98"/>
    </row>
    <row r="8" spans="2:8" ht="30" x14ac:dyDescent="0.2">
      <c r="B8" s="99" t="s">
        <v>312</v>
      </c>
      <c r="C8" s="253">
        <v>5959889.9100000001</v>
      </c>
      <c r="D8" s="253">
        <v>2724989.12</v>
      </c>
      <c r="E8" s="100"/>
      <c r="F8" s="120"/>
      <c r="G8" s="101"/>
      <c r="H8" s="102"/>
    </row>
    <row r="9" spans="2:8" x14ac:dyDescent="0.2">
      <c r="B9" s="99" t="s">
        <v>271</v>
      </c>
      <c r="C9" s="253">
        <v>3407502</v>
      </c>
      <c r="D9" s="253">
        <v>1795770</v>
      </c>
      <c r="E9" s="100"/>
      <c r="F9" s="120"/>
      <c r="G9" s="101"/>
      <c r="H9" s="102"/>
    </row>
    <row r="10" spans="2:8" x14ac:dyDescent="0.2">
      <c r="B10" s="103" t="s">
        <v>298</v>
      </c>
      <c r="C10" s="254">
        <f>C8-C9</f>
        <v>2552387.91</v>
      </c>
      <c r="D10" s="254">
        <f>D8-D9</f>
        <v>929219.12000000011</v>
      </c>
      <c r="E10" s="255"/>
      <c r="F10" s="120"/>
      <c r="G10" s="101"/>
      <c r="H10" s="102"/>
    </row>
    <row r="11" spans="2:8" x14ac:dyDescent="0.2">
      <c r="B11" s="104" t="s">
        <v>272</v>
      </c>
      <c r="C11" s="256">
        <f>'Summary (Total Company)'!N8</f>
        <v>4533015.47</v>
      </c>
      <c r="D11" s="256">
        <f>'Summary (Utah)'!N8</f>
        <v>2527357.9399999995</v>
      </c>
      <c r="E11" s="257"/>
      <c r="F11" s="117"/>
      <c r="G11" s="105"/>
      <c r="H11" s="102"/>
    </row>
    <row r="12" spans="2:8" x14ac:dyDescent="0.2">
      <c r="B12" s="104" t="s">
        <v>273</v>
      </c>
      <c r="C12" s="253">
        <f>'Summary (Total Company)'!N24</f>
        <v>465128.83999999997</v>
      </c>
      <c r="D12" s="253">
        <f>'Summary (Utah)'!N24</f>
        <v>238991.5</v>
      </c>
      <c r="E12" s="257"/>
      <c r="G12" s="106"/>
      <c r="H12" s="102"/>
    </row>
    <row r="13" spans="2:8" ht="17.25" x14ac:dyDescent="0.35">
      <c r="B13" s="104" t="s">
        <v>274</v>
      </c>
      <c r="C13" s="107">
        <f>-'Summary (Total Company)'!N10</f>
        <v>-370324.8</v>
      </c>
      <c r="D13" s="107">
        <f>-'Summary (Utah)'!N10</f>
        <v>-183038.39</v>
      </c>
      <c r="E13" s="257"/>
      <c r="F13" s="178"/>
      <c r="G13" s="106"/>
      <c r="H13" s="102"/>
    </row>
    <row r="14" spans="2:8" ht="13.5" customHeight="1" x14ac:dyDescent="0.2">
      <c r="B14" s="104" t="s">
        <v>275</v>
      </c>
      <c r="C14" s="107">
        <f>-SUM('Summary (Total Company)'!N13:N20)</f>
        <v>-1322216.2899999998</v>
      </c>
      <c r="D14" s="107">
        <f>-SUM('Summary (Utah)'!N13:N20)</f>
        <v>-744831.19000000006</v>
      </c>
      <c r="E14" s="258"/>
      <c r="G14" s="106"/>
      <c r="H14" s="102"/>
    </row>
    <row r="15" spans="2:8" ht="13.5" customHeight="1" x14ac:dyDescent="0.2">
      <c r="B15" s="108"/>
      <c r="C15" s="107"/>
      <c r="D15" s="107"/>
      <c r="E15" s="100"/>
      <c r="G15" s="105"/>
    </row>
    <row r="16" spans="2:8" x14ac:dyDescent="0.2">
      <c r="B16" s="103" t="s">
        <v>353</v>
      </c>
      <c r="C16" s="107">
        <f>C11+C12+C13+C14</f>
        <v>3305603.2199999997</v>
      </c>
      <c r="D16" s="107">
        <f>D11+D12+D13+D14</f>
        <v>1838479.8599999994</v>
      </c>
      <c r="E16" s="257"/>
      <c r="F16" s="120"/>
      <c r="G16" s="109"/>
      <c r="H16" s="102"/>
    </row>
    <row r="17" spans="2:8" x14ac:dyDescent="0.2">
      <c r="B17" s="103" t="s">
        <v>354</v>
      </c>
      <c r="C17" s="107">
        <f>C10+C16</f>
        <v>5857991.1299999999</v>
      </c>
      <c r="D17" s="107">
        <f>D10+D16</f>
        <v>2767698.9799999995</v>
      </c>
      <c r="E17" s="110"/>
      <c r="F17" s="179"/>
      <c r="G17" s="109"/>
      <c r="H17" s="102"/>
    </row>
    <row r="18" spans="2:8" x14ac:dyDescent="0.2">
      <c r="B18" s="103"/>
      <c r="C18" s="96" t="s">
        <v>114</v>
      </c>
      <c r="D18" s="96" t="s">
        <v>115</v>
      </c>
      <c r="E18" s="100"/>
      <c r="G18" s="105"/>
    </row>
    <row r="19" spans="2:8" x14ac:dyDescent="0.2">
      <c r="B19" s="99" t="s">
        <v>267</v>
      </c>
      <c r="C19" s="107">
        <f>F93</f>
        <v>3685950</v>
      </c>
      <c r="D19" s="107">
        <f>F83</f>
        <v>1866441</v>
      </c>
      <c r="E19" s="110"/>
      <c r="G19" s="105"/>
      <c r="H19" s="102"/>
    </row>
    <row r="20" spans="2:8" x14ac:dyDescent="0.2">
      <c r="B20" s="112" t="s">
        <v>268</v>
      </c>
      <c r="C20" s="107">
        <f>F95</f>
        <v>56385.71</v>
      </c>
      <c r="D20" s="107">
        <f>C20</f>
        <v>56385.71</v>
      </c>
      <c r="E20" s="113"/>
      <c r="G20" s="105"/>
      <c r="H20" s="102"/>
    </row>
    <row r="21" spans="2:8" x14ac:dyDescent="0.2">
      <c r="B21" s="259" t="s">
        <v>276</v>
      </c>
      <c r="C21" s="260">
        <f>SUM(C19:C20)</f>
        <v>3742335.71</v>
      </c>
      <c r="D21" s="260">
        <f>SUM(D19:D20)</f>
        <v>1922826.71</v>
      </c>
      <c r="E21" s="114"/>
      <c r="G21" s="115"/>
      <c r="H21" s="102"/>
    </row>
    <row r="22" spans="2:8" x14ac:dyDescent="0.2">
      <c r="B22" s="103"/>
      <c r="C22" s="107"/>
      <c r="D22" s="107"/>
      <c r="E22" s="114"/>
      <c r="G22" s="105"/>
    </row>
    <row r="23" spans="2:8" x14ac:dyDescent="0.2">
      <c r="B23" s="103" t="s">
        <v>277</v>
      </c>
      <c r="C23" s="260">
        <f>C17-C21</f>
        <v>2115655.42</v>
      </c>
      <c r="D23" s="260">
        <f>D17-D21</f>
        <v>844872.26999999955</v>
      </c>
      <c r="E23" s="110"/>
      <c r="F23" s="120"/>
      <c r="G23" s="115"/>
      <c r="H23" s="102"/>
    </row>
    <row r="24" spans="2:8" ht="13.5" customHeight="1" x14ac:dyDescent="0.2">
      <c r="B24" s="103"/>
      <c r="C24" s="116"/>
      <c r="D24" s="116"/>
      <c r="E24" s="113"/>
      <c r="F24" s="177"/>
      <c r="G24" s="105"/>
    </row>
    <row r="25" spans="2:8" ht="30" x14ac:dyDescent="0.2">
      <c r="B25" s="99" t="s">
        <v>170</v>
      </c>
      <c r="C25" s="261"/>
      <c r="D25" s="261"/>
      <c r="E25" s="117"/>
      <c r="F25" s="177"/>
      <c r="G25" s="109"/>
      <c r="H25" s="102"/>
    </row>
    <row r="26" spans="2:8" x14ac:dyDescent="0.2">
      <c r="B26" s="99" t="s">
        <v>278</v>
      </c>
      <c r="C26" s="107">
        <f>C20</f>
        <v>56385.71</v>
      </c>
      <c r="D26" s="107">
        <f>D20</f>
        <v>56385.71</v>
      </c>
      <c r="E26" s="262"/>
      <c r="F26" s="117"/>
      <c r="G26" s="109"/>
      <c r="H26" s="102"/>
    </row>
    <row r="27" spans="2:8" x14ac:dyDescent="0.2">
      <c r="B27" s="99" t="s">
        <v>239</v>
      </c>
      <c r="C27" s="107">
        <f>-F95</f>
        <v>-56385.71</v>
      </c>
      <c r="D27" s="107">
        <f>-F95</f>
        <v>-56385.71</v>
      </c>
      <c r="E27" s="117"/>
      <c r="F27" s="118"/>
      <c r="G27" s="109"/>
      <c r="H27" s="102"/>
    </row>
    <row r="28" spans="2:8" x14ac:dyDescent="0.2">
      <c r="B28" s="99" t="s">
        <v>279</v>
      </c>
      <c r="C28" s="107">
        <f>SUM(C26:C27)</f>
        <v>0</v>
      </c>
      <c r="D28" s="107">
        <f>SUM(D26:D27)</f>
        <v>0</v>
      </c>
      <c r="E28" s="117"/>
      <c r="F28" s="118"/>
      <c r="G28" s="109"/>
      <c r="H28" s="102"/>
    </row>
    <row r="29" spans="2:8" x14ac:dyDescent="0.2">
      <c r="B29" s="99"/>
      <c r="C29" s="107"/>
      <c r="D29" s="107"/>
      <c r="E29" s="117"/>
      <c r="F29" s="118"/>
      <c r="G29" s="109"/>
      <c r="H29" s="102"/>
    </row>
    <row r="30" spans="2:8" x14ac:dyDescent="0.2">
      <c r="B30" s="103" t="s">
        <v>290</v>
      </c>
      <c r="C30" s="260">
        <f>C23-C28</f>
        <v>2115655.42</v>
      </c>
      <c r="D30" s="260">
        <f>D23-D28</f>
        <v>844872.26999999955</v>
      </c>
      <c r="E30" s="119"/>
      <c r="F30" s="120"/>
      <c r="G30" s="115"/>
      <c r="H30" s="102"/>
    </row>
    <row r="31" spans="2:8" x14ac:dyDescent="0.2">
      <c r="B31" s="121"/>
      <c r="C31" s="115"/>
      <c r="D31" s="122"/>
      <c r="E31" s="123"/>
      <c r="F31" s="180"/>
      <c r="G31" s="98"/>
      <c r="H31" s="263"/>
    </row>
    <row r="32" spans="2:8" x14ac:dyDescent="0.2">
      <c r="B32" s="121"/>
      <c r="C32" s="115"/>
      <c r="D32" s="122"/>
      <c r="E32" s="123"/>
      <c r="F32" s="180"/>
      <c r="G32" s="98"/>
      <c r="H32" s="263"/>
    </row>
    <row r="33" spans="2:11" x14ac:dyDescent="0.2">
      <c r="B33" s="124"/>
      <c r="C33" s="115"/>
      <c r="D33" s="115"/>
      <c r="E33" s="125"/>
      <c r="F33" s="120"/>
      <c r="G33" s="98"/>
      <c r="H33" s="263"/>
    </row>
    <row r="34" spans="2:11" x14ac:dyDescent="0.2">
      <c r="B34" s="126"/>
      <c r="C34" s="126"/>
      <c r="D34" s="126"/>
      <c r="G34" s="98"/>
    </row>
    <row r="35" spans="2:11" x14ac:dyDescent="0.2">
      <c r="B35" s="321" t="s">
        <v>203</v>
      </c>
      <c r="C35" s="321"/>
      <c r="D35" s="321"/>
      <c r="E35" s="321"/>
      <c r="F35" s="322"/>
      <c r="G35" s="322"/>
      <c r="H35" s="322"/>
    </row>
    <row r="36" spans="2:11" x14ac:dyDescent="0.3">
      <c r="B36" s="264" t="s">
        <v>202</v>
      </c>
      <c r="C36" s="36" t="s">
        <v>69</v>
      </c>
      <c r="D36" s="36" t="s">
        <v>70</v>
      </c>
      <c r="E36" s="36" t="s">
        <v>169</v>
      </c>
      <c r="F36" s="265" t="s">
        <v>71</v>
      </c>
      <c r="G36" s="36" t="s">
        <v>68</v>
      </c>
      <c r="H36" s="266" t="s">
        <v>2</v>
      </c>
    </row>
    <row r="37" spans="2:11" x14ac:dyDescent="0.2">
      <c r="B37" s="128"/>
      <c r="C37" s="129"/>
      <c r="D37" s="129"/>
      <c r="E37" s="129"/>
      <c r="F37" s="181"/>
      <c r="G37" s="129"/>
      <c r="H37" s="267"/>
    </row>
    <row r="38" spans="2:11" x14ac:dyDescent="0.2">
      <c r="B38" s="268" t="s">
        <v>128</v>
      </c>
      <c r="C38" s="129"/>
      <c r="D38" s="129"/>
      <c r="E38" s="129"/>
      <c r="F38" s="181"/>
      <c r="G38" s="129"/>
      <c r="H38" s="267"/>
    </row>
    <row r="39" spans="2:11" x14ac:dyDescent="0.2">
      <c r="B39" s="269" t="s">
        <v>227</v>
      </c>
      <c r="C39" s="197" t="s">
        <v>266</v>
      </c>
      <c r="D39" s="197" t="s">
        <v>266</v>
      </c>
      <c r="E39" s="197" t="s">
        <v>266</v>
      </c>
      <c r="F39" s="132" t="s">
        <v>266</v>
      </c>
      <c r="G39" s="197" t="s">
        <v>266</v>
      </c>
      <c r="H39" s="197" t="s">
        <v>266</v>
      </c>
    </row>
    <row r="40" spans="2:11" x14ac:dyDescent="0.2">
      <c r="B40" s="131"/>
      <c r="C40" s="197"/>
      <c r="D40" s="197"/>
      <c r="E40" s="197"/>
      <c r="F40" s="132"/>
      <c r="G40" s="197"/>
      <c r="H40" s="270"/>
    </row>
    <row r="41" spans="2:11" x14ac:dyDescent="0.2">
      <c r="B41" s="268" t="s">
        <v>118</v>
      </c>
      <c r="C41" s="133"/>
      <c r="D41" s="197"/>
      <c r="E41" s="197"/>
      <c r="F41" s="134"/>
      <c r="G41" s="197"/>
      <c r="H41" s="270"/>
    </row>
    <row r="42" spans="2:11" x14ac:dyDescent="0.2">
      <c r="B42" s="269" t="s">
        <v>227</v>
      </c>
      <c r="C42" s="197" t="s">
        <v>266</v>
      </c>
      <c r="D42" s="197" t="s">
        <v>266</v>
      </c>
      <c r="E42" s="197" t="s">
        <v>266</v>
      </c>
      <c r="F42" s="132" t="s">
        <v>266</v>
      </c>
      <c r="G42" s="197" t="s">
        <v>266</v>
      </c>
      <c r="H42" s="197" t="s">
        <v>266</v>
      </c>
    </row>
    <row r="43" spans="2:11" x14ac:dyDescent="0.2">
      <c r="B43" s="131"/>
      <c r="C43" s="133"/>
      <c r="D43" s="197"/>
      <c r="E43" s="197"/>
      <c r="F43" s="133"/>
      <c r="G43" s="135"/>
      <c r="H43" s="270"/>
    </row>
    <row r="44" spans="2:11" x14ac:dyDescent="0.2">
      <c r="B44" s="268" t="s">
        <v>119</v>
      </c>
      <c r="C44" s="133"/>
      <c r="D44" s="197"/>
      <c r="E44" s="197"/>
      <c r="F44" s="133"/>
      <c r="G44" s="197"/>
      <c r="H44" s="270"/>
    </row>
    <row r="45" spans="2:11" ht="75" x14ac:dyDescent="0.2">
      <c r="B45" s="131" t="s">
        <v>313</v>
      </c>
      <c r="C45" s="133" t="s">
        <v>281</v>
      </c>
      <c r="D45" s="197" t="s">
        <v>139</v>
      </c>
      <c r="E45" s="197">
        <v>55</v>
      </c>
      <c r="F45" s="133">
        <v>139167</v>
      </c>
      <c r="G45" s="135" t="s">
        <v>265</v>
      </c>
      <c r="H45" s="270" t="s">
        <v>293</v>
      </c>
      <c r="I45" s="136"/>
      <c r="J45" s="136"/>
      <c r="K45" s="136"/>
    </row>
    <row r="46" spans="2:11" ht="45" x14ac:dyDescent="0.2">
      <c r="B46" s="271" t="s">
        <v>314</v>
      </c>
      <c r="C46" s="133" t="s">
        <v>228</v>
      </c>
      <c r="D46" s="197" t="s">
        <v>139</v>
      </c>
      <c r="E46" s="197">
        <v>38.869999999999997</v>
      </c>
      <c r="F46" s="133">
        <v>76940</v>
      </c>
      <c r="G46" s="135" t="s">
        <v>265</v>
      </c>
      <c r="H46" s="270" t="s">
        <v>293</v>
      </c>
      <c r="K46" s="127"/>
    </row>
    <row r="47" spans="2:11" ht="75" x14ac:dyDescent="0.2">
      <c r="B47" s="272" t="s">
        <v>315</v>
      </c>
      <c r="C47" s="133" t="s">
        <v>229</v>
      </c>
      <c r="D47" s="197" t="s">
        <v>139</v>
      </c>
      <c r="E47" s="135">
        <v>50</v>
      </c>
      <c r="F47" s="285">
        <v>75000</v>
      </c>
      <c r="G47" s="135" t="s">
        <v>265</v>
      </c>
      <c r="H47" s="270" t="s">
        <v>293</v>
      </c>
    </row>
    <row r="48" spans="2:11" ht="45" x14ac:dyDescent="0.2">
      <c r="B48" s="131" t="s">
        <v>316</v>
      </c>
      <c r="C48" s="133" t="s">
        <v>230</v>
      </c>
      <c r="D48" s="197" t="s">
        <v>231</v>
      </c>
      <c r="E48" s="197">
        <v>30</v>
      </c>
      <c r="F48" s="133">
        <v>9901</v>
      </c>
      <c r="G48" s="135" t="s">
        <v>265</v>
      </c>
      <c r="H48" s="270" t="s">
        <v>293</v>
      </c>
    </row>
    <row r="49" spans="2:9" ht="90" x14ac:dyDescent="0.2">
      <c r="B49" s="131" t="s">
        <v>317</v>
      </c>
      <c r="C49" s="133" t="s">
        <v>232</v>
      </c>
      <c r="D49" s="197" t="s">
        <v>139</v>
      </c>
      <c r="E49" s="197">
        <v>150</v>
      </c>
      <c r="F49" s="133">
        <v>400000</v>
      </c>
      <c r="G49" s="135" t="s">
        <v>265</v>
      </c>
      <c r="H49" s="270" t="s">
        <v>293</v>
      </c>
    </row>
    <row r="50" spans="2:9" ht="45" x14ac:dyDescent="0.2">
      <c r="B50" s="131" t="s">
        <v>318</v>
      </c>
      <c r="C50" s="133" t="s">
        <v>140</v>
      </c>
      <c r="D50" s="197" t="s">
        <v>139</v>
      </c>
      <c r="E50" s="197">
        <v>12.48</v>
      </c>
      <c r="F50" s="133">
        <v>32451</v>
      </c>
      <c r="G50" s="135" t="s">
        <v>265</v>
      </c>
      <c r="H50" s="270" t="s">
        <v>293</v>
      </c>
    </row>
    <row r="51" spans="2:9" ht="45" x14ac:dyDescent="0.2">
      <c r="B51" s="131" t="s">
        <v>319</v>
      </c>
      <c r="C51" s="133" t="s">
        <v>233</v>
      </c>
      <c r="D51" s="197" t="s">
        <v>139</v>
      </c>
      <c r="E51" s="197">
        <v>20</v>
      </c>
      <c r="F51" s="133">
        <v>36744</v>
      </c>
      <c r="G51" s="135" t="s">
        <v>265</v>
      </c>
      <c r="H51" s="270" t="s">
        <v>293</v>
      </c>
    </row>
    <row r="52" spans="2:9" ht="72" customHeight="1" x14ac:dyDescent="0.2">
      <c r="B52" s="131" t="s">
        <v>320</v>
      </c>
      <c r="C52" s="132" t="s">
        <v>234</v>
      </c>
      <c r="D52" s="197" t="s">
        <v>139</v>
      </c>
      <c r="E52" s="197">
        <v>38.85</v>
      </c>
      <c r="F52" s="132">
        <v>76950</v>
      </c>
      <c r="G52" s="135" t="s">
        <v>265</v>
      </c>
      <c r="H52" s="270" t="s">
        <v>293</v>
      </c>
    </row>
    <row r="53" spans="2:9" ht="30" x14ac:dyDescent="0.2">
      <c r="B53" s="273" t="s">
        <v>321</v>
      </c>
      <c r="C53" s="132" t="s">
        <v>229</v>
      </c>
      <c r="D53" s="197" t="s">
        <v>139</v>
      </c>
      <c r="E53" s="197">
        <v>9.6</v>
      </c>
      <c r="F53" s="132">
        <v>48450</v>
      </c>
      <c r="G53" s="135" t="s">
        <v>265</v>
      </c>
      <c r="H53" s="270" t="s">
        <v>293</v>
      </c>
    </row>
    <row r="54" spans="2:9" ht="60" x14ac:dyDescent="0.2">
      <c r="B54" s="131" t="s">
        <v>322</v>
      </c>
      <c r="C54" s="132" t="s">
        <v>235</v>
      </c>
      <c r="D54" s="197" t="s">
        <v>236</v>
      </c>
      <c r="E54" s="274">
        <v>1750</v>
      </c>
      <c r="F54" s="132">
        <v>250000</v>
      </c>
      <c r="G54" s="135" t="s">
        <v>265</v>
      </c>
      <c r="H54" s="270" t="s">
        <v>293</v>
      </c>
      <c r="I54" s="136"/>
    </row>
    <row r="55" spans="2:9" ht="45" x14ac:dyDescent="0.2">
      <c r="B55" s="131" t="s">
        <v>323</v>
      </c>
      <c r="C55" s="132" t="s">
        <v>237</v>
      </c>
      <c r="D55" s="197" t="s">
        <v>139</v>
      </c>
      <c r="E55" s="274">
        <v>150</v>
      </c>
      <c r="F55" s="132">
        <v>250000</v>
      </c>
      <c r="G55" s="135" t="s">
        <v>265</v>
      </c>
      <c r="H55" s="270" t="s">
        <v>293</v>
      </c>
      <c r="I55" s="136"/>
    </row>
    <row r="56" spans="2:9" ht="45" x14ac:dyDescent="0.2">
      <c r="B56" s="131" t="s">
        <v>324</v>
      </c>
      <c r="C56" s="132" t="s">
        <v>301</v>
      </c>
      <c r="D56" s="197" t="s">
        <v>139</v>
      </c>
      <c r="E56" s="274">
        <v>40</v>
      </c>
      <c r="F56" s="132">
        <v>150000</v>
      </c>
      <c r="G56" s="135" t="s">
        <v>265</v>
      </c>
      <c r="H56" s="270" t="s">
        <v>293</v>
      </c>
      <c r="I56" s="136"/>
    </row>
    <row r="57" spans="2:9" ht="60" x14ac:dyDescent="0.2">
      <c r="B57" s="131" t="s">
        <v>325</v>
      </c>
      <c r="C57" s="132" t="s">
        <v>233</v>
      </c>
      <c r="D57" s="197" t="s">
        <v>139</v>
      </c>
      <c r="E57" s="274">
        <v>10</v>
      </c>
      <c r="F57" s="132">
        <v>17555</v>
      </c>
      <c r="G57" s="135" t="s">
        <v>265</v>
      </c>
      <c r="H57" s="270" t="s">
        <v>293</v>
      </c>
      <c r="I57" s="136"/>
    </row>
    <row r="58" spans="2:9" ht="45" x14ac:dyDescent="0.2">
      <c r="B58" s="275" t="s">
        <v>326</v>
      </c>
      <c r="C58" s="132" t="s">
        <v>238</v>
      </c>
      <c r="D58" s="197" t="s">
        <v>55</v>
      </c>
      <c r="E58" s="274">
        <v>10</v>
      </c>
      <c r="F58" s="132">
        <v>86661</v>
      </c>
      <c r="G58" s="135" t="s">
        <v>265</v>
      </c>
      <c r="H58" s="270" t="s">
        <v>293</v>
      </c>
      <c r="I58" s="136"/>
    </row>
    <row r="59" spans="2:9" x14ac:dyDescent="0.2">
      <c r="B59" s="131"/>
      <c r="C59" s="132"/>
      <c r="D59" s="197"/>
      <c r="E59" s="303" t="s">
        <v>356</v>
      </c>
      <c r="F59" s="282">
        <f>SUM(F45:F58)</f>
        <v>1649819</v>
      </c>
      <c r="G59" s="135"/>
      <c r="H59" s="135"/>
      <c r="I59" s="136"/>
    </row>
    <row r="60" spans="2:9" x14ac:dyDescent="0.2">
      <c r="B60" s="268" t="s">
        <v>120</v>
      </c>
      <c r="C60" s="132"/>
      <c r="D60" s="197"/>
      <c r="E60" s="197"/>
      <c r="F60" s="132"/>
      <c r="G60" s="197"/>
      <c r="H60" s="135"/>
    </row>
    <row r="61" spans="2:9" ht="60" x14ac:dyDescent="0.2">
      <c r="B61" s="273" t="s">
        <v>327</v>
      </c>
      <c r="C61" s="132" t="s">
        <v>189</v>
      </c>
      <c r="D61" s="197" t="s">
        <v>139</v>
      </c>
      <c r="E61" s="197">
        <v>36</v>
      </c>
      <c r="F61" s="132">
        <v>136361</v>
      </c>
      <c r="G61" s="135" t="s">
        <v>265</v>
      </c>
      <c r="H61" s="270" t="s">
        <v>293</v>
      </c>
    </row>
    <row r="62" spans="2:9" ht="45" x14ac:dyDescent="0.2">
      <c r="B62" s="273" t="s">
        <v>328</v>
      </c>
      <c r="C62" s="132" t="s">
        <v>189</v>
      </c>
      <c r="D62" s="197" t="s">
        <v>139</v>
      </c>
      <c r="E62" s="197">
        <v>28</v>
      </c>
      <c r="F62" s="132">
        <v>100000</v>
      </c>
      <c r="G62" s="135" t="s">
        <v>265</v>
      </c>
      <c r="H62" s="270" t="s">
        <v>293</v>
      </c>
    </row>
    <row r="63" spans="2:9" ht="75" x14ac:dyDescent="0.2">
      <c r="B63" s="273" t="s">
        <v>329</v>
      </c>
      <c r="C63" s="132" t="s">
        <v>241</v>
      </c>
      <c r="D63" s="197" t="s">
        <v>139</v>
      </c>
      <c r="E63" s="197">
        <v>20.399999999999999</v>
      </c>
      <c r="F63" s="132">
        <v>68000</v>
      </c>
      <c r="G63" s="135" t="s">
        <v>265</v>
      </c>
      <c r="H63" s="270" t="s">
        <v>293</v>
      </c>
    </row>
    <row r="64" spans="2:9" ht="45" x14ac:dyDescent="0.2">
      <c r="B64" s="273" t="s">
        <v>330</v>
      </c>
      <c r="C64" s="132" t="s">
        <v>242</v>
      </c>
      <c r="D64" s="197" t="s">
        <v>139</v>
      </c>
      <c r="E64" s="197">
        <v>150</v>
      </c>
      <c r="F64" s="132">
        <v>125000</v>
      </c>
      <c r="G64" s="135" t="s">
        <v>265</v>
      </c>
      <c r="H64" s="270" t="s">
        <v>293</v>
      </c>
    </row>
    <row r="65" spans="2:11" ht="60" x14ac:dyDescent="0.2">
      <c r="B65" s="273" t="s">
        <v>331</v>
      </c>
      <c r="C65" s="132" t="s">
        <v>243</v>
      </c>
      <c r="D65" s="197" t="s">
        <v>139</v>
      </c>
      <c r="E65" s="197">
        <v>14.5</v>
      </c>
      <c r="F65" s="132">
        <v>56250</v>
      </c>
      <c r="G65" s="135" t="s">
        <v>265</v>
      </c>
      <c r="H65" s="270" t="s">
        <v>293</v>
      </c>
    </row>
    <row r="66" spans="2:11" ht="75" x14ac:dyDescent="0.2">
      <c r="B66" s="131" t="s">
        <v>332</v>
      </c>
      <c r="C66" s="132" t="s">
        <v>244</v>
      </c>
      <c r="D66" s="197" t="s">
        <v>139</v>
      </c>
      <c r="E66" s="197">
        <v>10</v>
      </c>
      <c r="F66" s="132">
        <v>34650</v>
      </c>
      <c r="G66" s="135" t="s">
        <v>265</v>
      </c>
      <c r="H66" s="270" t="s">
        <v>293</v>
      </c>
    </row>
    <row r="67" spans="2:11" ht="75" x14ac:dyDescent="0.2">
      <c r="B67" s="273" t="s">
        <v>333</v>
      </c>
      <c r="C67" s="132" t="s">
        <v>189</v>
      </c>
      <c r="D67" s="197" t="s">
        <v>139</v>
      </c>
      <c r="E67" s="197">
        <v>22</v>
      </c>
      <c r="F67" s="132">
        <v>100000</v>
      </c>
      <c r="G67" s="135" t="s">
        <v>265</v>
      </c>
      <c r="H67" s="270" t="s">
        <v>293</v>
      </c>
    </row>
    <row r="68" spans="2:11" ht="60" x14ac:dyDescent="0.2">
      <c r="B68" s="273" t="s">
        <v>334</v>
      </c>
      <c r="C68" s="132" t="s">
        <v>245</v>
      </c>
      <c r="D68" s="197" t="s">
        <v>139</v>
      </c>
      <c r="E68" s="197" t="s">
        <v>246</v>
      </c>
      <c r="F68" s="132">
        <v>50000</v>
      </c>
      <c r="G68" s="135" t="s">
        <v>265</v>
      </c>
      <c r="H68" s="270" t="s">
        <v>293</v>
      </c>
    </row>
    <row r="69" spans="2:11" ht="60" x14ac:dyDescent="0.2">
      <c r="B69" s="273" t="s">
        <v>335</v>
      </c>
      <c r="C69" s="132" t="s">
        <v>189</v>
      </c>
      <c r="D69" s="197" t="s">
        <v>139</v>
      </c>
      <c r="E69" s="98">
        <v>6</v>
      </c>
      <c r="F69" s="133">
        <v>25000</v>
      </c>
      <c r="G69" s="135" t="s">
        <v>265</v>
      </c>
      <c r="H69" s="270" t="s">
        <v>293</v>
      </c>
    </row>
    <row r="70" spans="2:11" ht="60" x14ac:dyDescent="0.2">
      <c r="B70" s="273" t="s">
        <v>336</v>
      </c>
      <c r="C70" s="132" t="s">
        <v>189</v>
      </c>
      <c r="D70" s="197" t="s">
        <v>139</v>
      </c>
      <c r="E70" s="197">
        <v>16</v>
      </c>
      <c r="F70" s="132">
        <v>74180</v>
      </c>
      <c r="G70" s="135" t="s">
        <v>265</v>
      </c>
      <c r="H70" s="270" t="s">
        <v>293</v>
      </c>
    </row>
    <row r="71" spans="2:11" ht="45" x14ac:dyDescent="0.2">
      <c r="B71" s="273" t="s">
        <v>337</v>
      </c>
      <c r="C71" s="132" t="s">
        <v>247</v>
      </c>
      <c r="D71" s="197" t="s">
        <v>139</v>
      </c>
      <c r="E71" s="197">
        <v>8.5</v>
      </c>
      <c r="F71" s="132">
        <v>35000</v>
      </c>
      <c r="G71" s="135" t="s">
        <v>265</v>
      </c>
      <c r="H71" s="270" t="s">
        <v>293</v>
      </c>
    </row>
    <row r="72" spans="2:11" ht="45" x14ac:dyDescent="0.2">
      <c r="B72" s="273" t="s">
        <v>338</v>
      </c>
      <c r="C72" s="132" t="s">
        <v>248</v>
      </c>
      <c r="D72" s="197" t="s">
        <v>139</v>
      </c>
      <c r="E72" s="197">
        <v>19.88</v>
      </c>
      <c r="F72" s="132">
        <v>64000</v>
      </c>
      <c r="G72" s="135" t="s">
        <v>265</v>
      </c>
      <c r="H72" s="270" t="s">
        <v>293</v>
      </c>
    </row>
    <row r="73" spans="2:11" ht="60" x14ac:dyDescent="0.2">
      <c r="B73" s="286" t="s">
        <v>339</v>
      </c>
      <c r="C73" s="132" t="s">
        <v>249</v>
      </c>
      <c r="D73" s="197" t="s">
        <v>139</v>
      </c>
      <c r="E73" s="197">
        <v>8.5</v>
      </c>
      <c r="F73" s="132">
        <v>35000</v>
      </c>
      <c r="G73" s="135" t="s">
        <v>265</v>
      </c>
      <c r="H73" s="270" t="s">
        <v>293</v>
      </c>
    </row>
    <row r="74" spans="2:11" ht="30" x14ac:dyDescent="0.2">
      <c r="B74" s="286" t="s">
        <v>340</v>
      </c>
      <c r="C74" s="132" t="s">
        <v>247</v>
      </c>
      <c r="D74" s="197" t="s">
        <v>139</v>
      </c>
      <c r="E74" s="197">
        <v>8</v>
      </c>
      <c r="F74" s="132">
        <v>35000</v>
      </c>
      <c r="G74" s="135" t="s">
        <v>265</v>
      </c>
      <c r="H74" s="270" t="s">
        <v>293</v>
      </c>
    </row>
    <row r="75" spans="2:11" ht="45" x14ac:dyDescent="0.2">
      <c r="B75" s="286" t="s">
        <v>341</v>
      </c>
      <c r="C75" s="276" t="s">
        <v>250</v>
      </c>
      <c r="D75" s="197" t="s">
        <v>139</v>
      </c>
      <c r="E75" s="197">
        <v>21</v>
      </c>
      <c r="F75" s="132">
        <v>70500</v>
      </c>
      <c r="G75" s="135" t="s">
        <v>265</v>
      </c>
      <c r="H75" s="270" t="s">
        <v>293</v>
      </c>
    </row>
    <row r="76" spans="2:11" ht="45" x14ac:dyDescent="0.3">
      <c r="B76" s="287" t="s">
        <v>342</v>
      </c>
      <c r="C76" s="132" t="s">
        <v>302</v>
      </c>
      <c r="D76" s="197" t="s">
        <v>139</v>
      </c>
      <c r="E76" s="197">
        <v>20.52</v>
      </c>
      <c r="F76" s="132">
        <v>65000</v>
      </c>
      <c r="G76" s="135" t="s">
        <v>265</v>
      </c>
      <c r="H76" s="270" t="s">
        <v>293</v>
      </c>
    </row>
    <row r="77" spans="2:11" ht="45" x14ac:dyDescent="0.2">
      <c r="B77" s="273" t="s">
        <v>343</v>
      </c>
      <c r="C77" s="132" t="s">
        <v>251</v>
      </c>
      <c r="D77" s="197" t="s">
        <v>139</v>
      </c>
      <c r="E77" s="197">
        <v>22.8</v>
      </c>
      <c r="F77" s="132">
        <v>82500</v>
      </c>
      <c r="G77" s="135" t="s">
        <v>265</v>
      </c>
      <c r="H77" s="270" t="s">
        <v>293</v>
      </c>
    </row>
    <row r="78" spans="2:11" ht="60" x14ac:dyDescent="0.2">
      <c r="B78" s="273" t="s">
        <v>344</v>
      </c>
      <c r="C78" s="132" t="s">
        <v>247</v>
      </c>
      <c r="D78" s="197" t="s">
        <v>139</v>
      </c>
      <c r="E78" s="197">
        <v>8.5</v>
      </c>
      <c r="F78" s="132">
        <v>35000</v>
      </c>
      <c r="G78" s="135" t="s">
        <v>265</v>
      </c>
      <c r="H78" s="270" t="s">
        <v>293</v>
      </c>
      <c r="K78" s="137"/>
    </row>
    <row r="79" spans="2:11" ht="45" x14ac:dyDescent="0.2">
      <c r="B79" s="273" t="s">
        <v>345</v>
      </c>
      <c r="C79" s="132" t="s">
        <v>252</v>
      </c>
      <c r="D79" s="197" t="s">
        <v>139</v>
      </c>
      <c r="E79" s="197">
        <v>52</v>
      </c>
      <c r="F79" s="132">
        <v>175000</v>
      </c>
      <c r="G79" s="135" t="s">
        <v>265</v>
      </c>
      <c r="H79" s="270" t="s">
        <v>293</v>
      </c>
    </row>
    <row r="80" spans="2:11" ht="90" customHeight="1" x14ac:dyDescent="0.2">
      <c r="B80" s="273" t="s">
        <v>346</v>
      </c>
      <c r="C80" s="138" t="s">
        <v>247</v>
      </c>
      <c r="D80" s="197" t="s">
        <v>139</v>
      </c>
      <c r="E80" s="197">
        <v>31</v>
      </c>
      <c r="F80" s="132">
        <v>112500</v>
      </c>
      <c r="G80" s="135" t="s">
        <v>265</v>
      </c>
      <c r="H80" s="270" t="s">
        <v>293</v>
      </c>
    </row>
    <row r="81" spans="2:11" ht="45" x14ac:dyDescent="0.2">
      <c r="B81" s="273" t="s">
        <v>347</v>
      </c>
      <c r="C81" s="138" t="s">
        <v>253</v>
      </c>
      <c r="D81" s="197" t="s">
        <v>139</v>
      </c>
      <c r="E81" s="197">
        <v>56</v>
      </c>
      <c r="F81" s="132">
        <v>187500</v>
      </c>
      <c r="G81" s="135" t="s">
        <v>265</v>
      </c>
      <c r="H81" s="270" t="s">
        <v>293</v>
      </c>
    </row>
    <row r="82" spans="2:11" ht="30" x14ac:dyDescent="0.2">
      <c r="B82" s="273" t="s">
        <v>348</v>
      </c>
      <c r="C82" s="138" t="s">
        <v>254</v>
      </c>
      <c r="D82" s="197" t="s">
        <v>139</v>
      </c>
      <c r="E82" s="197">
        <v>52</v>
      </c>
      <c r="F82" s="132">
        <v>200000</v>
      </c>
      <c r="G82" s="135" t="s">
        <v>265</v>
      </c>
      <c r="H82" s="270" t="s">
        <v>293</v>
      </c>
    </row>
    <row r="83" spans="2:11" x14ac:dyDescent="0.2">
      <c r="B83" s="131"/>
      <c r="C83" s="133"/>
      <c r="D83" s="197"/>
      <c r="E83" s="129" t="s">
        <v>357</v>
      </c>
      <c r="F83" s="279">
        <f>SUM(F61:F82)</f>
        <v>1866441</v>
      </c>
      <c r="G83" s="138"/>
      <c r="H83" s="270"/>
    </row>
    <row r="84" spans="2:11" ht="17.25" x14ac:dyDescent="0.2">
      <c r="B84" s="277" t="s">
        <v>121</v>
      </c>
      <c r="C84" s="132"/>
      <c r="D84" s="197"/>
      <c r="E84" s="197"/>
      <c r="F84" s="132"/>
      <c r="G84" s="197"/>
      <c r="H84" s="270"/>
    </row>
    <row r="85" spans="2:11" ht="90" customHeight="1" x14ac:dyDescent="0.2">
      <c r="B85" s="131" t="s">
        <v>349</v>
      </c>
      <c r="C85" s="132" t="s">
        <v>224</v>
      </c>
      <c r="D85" s="197" t="s">
        <v>225</v>
      </c>
      <c r="E85" s="197">
        <v>10</v>
      </c>
      <c r="F85" s="132">
        <v>91635</v>
      </c>
      <c r="G85" s="135" t="s">
        <v>265</v>
      </c>
      <c r="H85" s="270" t="s">
        <v>293</v>
      </c>
    </row>
    <row r="86" spans="2:11" s="139" customFormat="1" ht="15" customHeight="1" x14ac:dyDescent="0.2">
      <c r="B86" s="131"/>
      <c r="C86" s="135"/>
      <c r="D86" s="135"/>
      <c r="E86" s="304" t="s">
        <v>358</v>
      </c>
      <c r="F86" s="305">
        <f>F85</f>
        <v>91635</v>
      </c>
      <c r="G86" s="135" t="s">
        <v>265</v>
      </c>
      <c r="H86" s="270" t="s">
        <v>293</v>
      </c>
      <c r="K86" s="140"/>
    </row>
    <row r="87" spans="2:11" x14ac:dyDescent="0.2">
      <c r="B87" s="131"/>
      <c r="C87" s="197"/>
      <c r="D87" s="197"/>
      <c r="E87" s="197"/>
      <c r="F87" s="133"/>
      <c r="G87" s="135" t="s">
        <v>265</v>
      </c>
      <c r="H87" s="270" t="s">
        <v>293</v>
      </c>
      <c r="K87" s="127"/>
    </row>
    <row r="88" spans="2:11" ht="17.25" x14ac:dyDescent="0.2">
      <c r="B88" s="277" t="s">
        <v>122</v>
      </c>
      <c r="C88" s="132"/>
      <c r="D88" s="104"/>
      <c r="E88" s="197"/>
      <c r="F88" s="132"/>
      <c r="G88" s="135" t="s">
        <v>265</v>
      </c>
      <c r="H88" s="270" t="s">
        <v>293</v>
      </c>
    </row>
    <row r="89" spans="2:11" ht="45" x14ac:dyDescent="0.2">
      <c r="B89" s="131" t="s">
        <v>350</v>
      </c>
      <c r="C89" s="132" t="s">
        <v>138</v>
      </c>
      <c r="D89" s="197" t="s">
        <v>139</v>
      </c>
      <c r="E89" s="197">
        <v>5</v>
      </c>
      <c r="F89" s="132">
        <v>22117</v>
      </c>
      <c r="G89" s="135" t="s">
        <v>265</v>
      </c>
      <c r="H89" s="270" t="s">
        <v>293</v>
      </c>
    </row>
    <row r="90" spans="2:11" ht="60" x14ac:dyDescent="0.3">
      <c r="B90" s="192" t="s">
        <v>351</v>
      </c>
      <c r="C90" s="133" t="s">
        <v>240</v>
      </c>
      <c r="D90" s="197" t="s">
        <v>139</v>
      </c>
      <c r="E90" s="135">
        <v>9</v>
      </c>
      <c r="F90" s="132">
        <v>55938</v>
      </c>
      <c r="G90" s="135" t="s">
        <v>265</v>
      </c>
      <c r="H90" s="270" t="s">
        <v>293</v>
      </c>
    </row>
    <row r="91" spans="2:11" x14ac:dyDescent="0.3">
      <c r="B91" s="302"/>
      <c r="C91" s="133"/>
      <c r="D91" s="197"/>
      <c r="E91" s="304" t="s">
        <v>359</v>
      </c>
      <c r="F91" s="132">
        <f>F90+F89</f>
        <v>78055</v>
      </c>
      <c r="G91" s="135"/>
      <c r="H91" s="270"/>
    </row>
    <row r="92" spans="2:11" x14ac:dyDescent="0.2">
      <c r="B92" s="99"/>
      <c r="C92" s="112"/>
      <c r="D92" s="104"/>
      <c r="E92" s="197"/>
      <c r="F92" s="116"/>
      <c r="G92" s="141"/>
      <c r="H92" s="278"/>
      <c r="K92" s="127"/>
    </row>
    <row r="93" spans="2:11" x14ac:dyDescent="0.2">
      <c r="B93" s="259" t="s">
        <v>299</v>
      </c>
      <c r="C93" s="112"/>
      <c r="D93" s="142"/>
      <c r="E93" s="143"/>
      <c r="F93" s="279">
        <f>F91+F86+F83+F59</f>
        <v>3685950</v>
      </c>
      <c r="G93" s="144"/>
      <c r="H93" s="270"/>
    </row>
    <row r="94" spans="2:11" x14ac:dyDescent="0.2">
      <c r="B94" s="112"/>
      <c r="C94" s="112"/>
      <c r="D94" s="142"/>
      <c r="E94" s="143"/>
      <c r="F94" s="116"/>
      <c r="G94" s="144"/>
      <c r="H94" s="270"/>
    </row>
    <row r="95" spans="2:11" x14ac:dyDescent="0.2">
      <c r="B95" s="112" t="s">
        <v>226</v>
      </c>
      <c r="C95" s="133" t="s">
        <v>24</v>
      </c>
      <c r="D95" s="197" t="s">
        <v>55</v>
      </c>
      <c r="E95" s="143"/>
      <c r="F95" s="182">
        <f>56025.71+360</f>
        <v>56385.71</v>
      </c>
      <c r="G95" s="280" t="s">
        <v>255</v>
      </c>
      <c r="H95" s="281"/>
    </row>
    <row r="96" spans="2:11" x14ac:dyDescent="0.2">
      <c r="B96" s="112"/>
      <c r="C96" s="142"/>
      <c r="D96" s="142"/>
      <c r="E96" s="143"/>
      <c r="F96" s="182"/>
      <c r="G96" s="145"/>
      <c r="H96" s="270"/>
    </row>
    <row r="97" spans="2:8" x14ac:dyDescent="0.2">
      <c r="B97" s="259" t="s">
        <v>300</v>
      </c>
      <c r="C97" s="142"/>
      <c r="D97" s="142"/>
      <c r="E97" s="143"/>
      <c r="F97" s="282">
        <f>F93+F95</f>
        <v>3742335.71</v>
      </c>
      <c r="G97" s="145"/>
      <c r="H97" s="270"/>
    </row>
    <row r="98" spans="2:8" x14ac:dyDescent="0.2">
      <c r="B98" s="99"/>
      <c r="C98" s="133"/>
      <c r="D98" s="104"/>
      <c r="E98" s="197"/>
      <c r="F98" s="133"/>
      <c r="G98" s="131"/>
      <c r="H98" s="270"/>
    </row>
    <row r="99" spans="2:8" x14ac:dyDescent="0.2">
      <c r="B99" s="99"/>
      <c r="C99" s="133"/>
      <c r="D99" s="104"/>
      <c r="E99" s="283"/>
      <c r="F99" s="284"/>
      <c r="G99" s="131"/>
      <c r="H99" s="270"/>
    </row>
    <row r="100" spans="2:8" x14ac:dyDescent="0.2">
      <c r="C100" s="111"/>
      <c r="D100" s="111"/>
      <c r="E100" s="126"/>
      <c r="F100" s="146"/>
      <c r="G100" s="102"/>
    </row>
    <row r="101" spans="2:8" x14ac:dyDescent="0.2">
      <c r="B101" s="136" t="s">
        <v>171</v>
      </c>
    </row>
    <row r="102" spans="2:8" x14ac:dyDescent="0.2">
      <c r="B102" s="136" t="s">
        <v>294</v>
      </c>
      <c r="E102" s="95"/>
    </row>
    <row r="103" spans="2:8" x14ac:dyDescent="0.3">
      <c r="B103" s="147"/>
    </row>
    <row r="104" spans="2:8" x14ac:dyDescent="0.2">
      <c r="B104" s="136" t="s">
        <v>269</v>
      </c>
      <c r="C104" s="136"/>
      <c r="D104" s="136"/>
      <c r="E104" s="148"/>
    </row>
    <row r="105" spans="2:8" x14ac:dyDescent="0.2">
      <c r="B105" s="136" t="s">
        <v>270</v>
      </c>
      <c r="C105" s="136"/>
      <c r="D105" s="136"/>
      <c r="E105" s="148"/>
    </row>
    <row r="109" spans="2:8" x14ac:dyDescent="0.3">
      <c r="B109" s="147"/>
      <c r="C109" s="149"/>
      <c r="D109" s="150"/>
      <c r="E109" s="151"/>
    </row>
    <row r="111" spans="2:8" ht="17.25" x14ac:dyDescent="0.2">
      <c r="F111" s="183"/>
    </row>
    <row r="119" spans="2:2" x14ac:dyDescent="0.2">
      <c r="B119" s="152"/>
    </row>
    <row r="132" spans="2:2" x14ac:dyDescent="0.2">
      <c r="B132" s="152"/>
    </row>
    <row r="141" spans="2:2" x14ac:dyDescent="0.2">
      <c r="B141" s="152"/>
    </row>
    <row r="145" spans="2:2" x14ac:dyDescent="0.2">
      <c r="B145" s="95" t="s">
        <v>172</v>
      </c>
    </row>
    <row r="146" spans="2:2" x14ac:dyDescent="0.2">
      <c r="B146" s="95" t="s">
        <v>173</v>
      </c>
    </row>
    <row r="151" spans="2:2" x14ac:dyDescent="0.2">
      <c r="B151" s="152"/>
    </row>
  </sheetData>
  <mergeCells count="1">
    <mergeCell ref="B35:H35"/>
  </mergeCells>
  <phoneticPr fontId="11" type="noConversion"/>
  <printOptions horizontalCentered="1"/>
  <pageMargins left="0.25" right="0.25" top="0.5" bottom="0.5" header="0.5" footer="0.5"/>
  <pageSetup scale="43" fitToHeight="4" orientation="portrait" r:id="rId1"/>
  <headerFooter alignWithMargins="0"/>
  <rowBreaks count="2" manualBreakCount="2">
    <brk id="59" max="7" man="1"/>
    <brk id="10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view="pageBreakPreview" zoomScale="60" zoomScaleNormal="100" workbookViewId="0">
      <selection activeCell="F10" sqref="F10"/>
    </sheetView>
  </sheetViews>
  <sheetFormatPr defaultColWidth="9.140625" defaultRowHeight="15" x14ac:dyDescent="0.3"/>
  <cols>
    <col min="1" max="1" width="60.85546875" style="6" bestFit="1" customWidth="1"/>
    <col min="2" max="2" width="16" style="6" customWidth="1"/>
    <col min="3" max="3" width="15.28515625" style="6" customWidth="1"/>
    <col min="4" max="4" width="9.140625" style="6"/>
    <col min="5" max="5" width="54.5703125" style="6" customWidth="1"/>
    <col min="6" max="6" width="14.28515625" style="6" bestFit="1" customWidth="1"/>
    <col min="7" max="16384" width="9.140625" style="6"/>
  </cols>
  <sheetData>
    <row r="1" spans="1:7" x14ac:dyDescent="0.3">
      <c r="A1" s="288" t="s">
        <v>292</v>
      </c>
    </row>
    <row r="2" spans="1:7" x14ac:dyDescent="0.3">
      <c r="A2" s="288" t="s">
        <v>285</v>
      </c>
    </row>
    <row r="4" spans="1:7" x14ac:dyDescent="0.3">
      <c r="A4" s="77"/>
      <c r="B4" s="36" t="s">
        <v>114</v>
      </c>
      <c r="C4" s="36" t="s">
        <v>115</v>
      </c>
    </row>
    <row r="5" spans="1:7" x14ac:dyDescent="0.3">
      <c r="A5" s="218" t="s">
        <v>352</v>
      </c>
      <c r="B5" s="289">
        <f>'Available Fund Projects'!F93</f>
        <v>3685950</v>
      </c>
      <c r="C5" s="290">
        <f>SUM('Available Fund Projects'!F61:F82)</f>
        <v>1866441</v>
      </c>
    </row>
    <row r="6" spans="1:7" x14ac:dyDescent="0.3">
      <c r="A6" s="193" t="s">
        <v>295</v>
      </c>
      <c r="B6" s="291">
        <v>0</v>
      </c>
      <c r="C6" s="290">
        <v>0</v>
      </c>
      <c r="E6" s="292"/>
      <c r="F6" s="293"/>
      <c r="G6" s="293"/>
    </row>
    <row r="7" spans="1:7" x14ac:dyDescent="0.3">
      <c r="A7" s="77"/>
      <c r="B7" s="294"/>
      <c r="C7" s="295"/>
      <c r="E7" s="257"/>
    </row>
    <row r="8" spans="1:7" x14ac:dyDescent="0.3">
      <c r="A8" s="77"/>
      <c r="B8" s="294"/>
      <c r="C8" s="77"/>
    </row>
    <row r="9" spans="1:7" ht="17.25" x14ac:dyDescent="0.45">
      <c r="A9" s="77" t="s">
        <v>296</v>
      </c>
      <c r="B9" s="296">
        <v>0</v>
      </c>
      <c r="C9" s="296">
        <v>0</v>
      </c>
    </row>
    <row r="10" spans="1:7" ht="17.25" x14ac:dyDescent="0.45">
      <c r="A10" s="297"/>
      <c r="B10" s="298"/>
      <c r="C10" s="299"/>
    </row>
    <row r="11" spans="1:7" x14ac:dyDescent="0.3">
      <c r="A11" s="218" t="s">
        <v>297</v>
      </c>
      <c r="B11" s="300">
        <f>B5+B10</f>
        <v>3685950</v>
      </c>
      <c r="C11" s="300">
        <f>C5+C10</f>
        <v>1866441</v>
      </c>
      <c r="F11" s="30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60" zoomScaleNormal="100" workbookViewId="0">
      <selection activeCell="F10" sqref="F10"/>
    </sheetView>
  </sheetViews>
  <sheetFormatPr defaultColWidth="9.140625" defaultRowHeight="15" x14ac:dyDescent="0.3"/>
  <cols>
    <col min="1" max="1" width="56.7109375" style="194" bestFit="1" customWidth="1"/>
    <col min="2" max="2" width="13.28515625" style="194" customWidth="1"/>
    <col min="3" max="3" width="15.7109375" style="194" bestFit="1" customWidth="1"/>
    <col min="4" max="4" width="13.140625" style="194" bestFit="1" customWidth="1"/>
    <col min="5" max="16384" width="9.140625" style="194"/>
  </cols>
  <sheetData>
    <row r="1" spans="1:7" x14ac:dyDescent="0.3">
      <c r="A1" s="248" t="s">
        <v>284</v>
      </c>
      <c r="B1" s="196"/>
      <c r="C1" s="196"/>
      <c r="D1" s="196"/>
    </row>
    <row r="2" spans="1:7" x14ac:dyDescent="0.3">
      <c r="A2" s="248" t="s">
        <v>285</v>
      </c>
      <c r="B2" s="196"/>
      <c r="C2" s="196"/>
      <c r="D2" s="196"/>
    </row>
    <row r="3" spans="1:7" x14ac:dyDescent="0.3">
      <c r="A3" s="196"/>
      <c r="B3" s="196"/>
      <c r="C3" s="196"/>
      <c r="D3" s="196"/>
    </row>
    <row r="4" spans="1:7" x14ac:dyDescent="0.3">
      <c r="A4" s="196"/>
      <c r="B4" s="196"/>
      <c r="C4" s="196"/>
      <c r="D4" s="196"/>
      <c r="F4" s="147"/>
      <c r="G4" s="147"/>
    </row>
    <row r="5" spans="1:7" x14ac:dyDescent="0.3">
      <c r="A5" s="195" t="s">
        <v>114</v>
      </c>
      <c r="B5" s="195"/>
      <c r="C5" s="195"/>
      <c r="D5" s="195"/>
    </row>
    <row r="6" spans="1:7" x14ac:dyDescent="0.3">
      <c r="A6" s="196"/>
      <c r="B6" s="249" t="s">
        <v>195</v>
      </c>
      <c r="C6" s="249" t="s">
        <v>196</v>
      </c>
      <c r="D6" s="249" t="s">
        <v>197</v>
      </c>
    </row>
    <row r="7" spans="1:7" x14ac:dyDescent="0.3">
      <c r="A7" s="196" t="s">
        <v>286</v>
      </c>
      <c r="B7" s="250"/>
      <c r="C7" s="250">
        <v>-56478204</v>
      </c>
      <c r="D7" s="250">
        <f>C7/1000</f>
        <v>-56478.203999999998</v>
      </c>
    </row>
    <row r="8" spans="1:7" x14ac:dyDescent="0.3">
      <c r="A8" s="196" t="s">
        <v>287</v>
      </c>
      <c r="B8" s="250">
        <v>3313354</v>
      </c>
      <c r="C8" s="37">
        <f>-B8*100</f>
        <v>-331335400</v>
      </c>
      <c r="D8" s="250">
        <f>C8/1000</f>
        <v>-331335.40000000002</v>
      </c>
    </row>
    <row r="9" spans="1:7" x14ac:dyDescent="0.3">
      <c r="A9" s="196" t="s">
        <v>288</v>
      </c>
      <c r="B9" s="250"/>
      <c r="C9" s="37">
        <v>335703000</v>
      </c>
      <c r="D9" s="37">
        <f>C9/1000</f>
        <v>335703</v>
      </c>
    </row>
    <row r="10" spans="1:7" x14ac:dyDescent="0.3">
      <c r="A10" s="196" t="s">
        <v>289</v>
      </c>
      <c r="B10" s="250"/>
      <c r="C10" s="37">
        <v>-52110581</v>
      </c>
      <c r="D10" s="37">
        <f>C10/1000</f>
        <v>-52110.580999999998</v>
      </c>
    </row>
    <row r="11" spans="1:7" x14ac:dyDescent="0.3">
      <c r="A11" s="196"/>
      <c r="B11" s="250"/>
      <c r="C11" s="250"/>
      <c r="D11" s="250"/>
    </row>
    <row r="12" spans="1:7" x14ac:dyDescent="0.3">
      <c r="A12" s="195" t="s">
        <v>198</v>
      </c>
      <c r="B12" s="306"/>
      <c r="C12" s="306"/>
      <c r="D12" s="306"/>
    </row>
    <row r="13" spans="1:7" x14ac:dyDescent="0.3">
      <c r="A13" s="196"/>
      <c r="B13" s="307" t="s">
        <v>195</v>
      </c>
      <c r="C13" s="307" t="s">
        <v>196</v>
      </c>
      <c r="D13" s="307" t="s">
        <v>197</v>
      </c>
    </row>
    <row r="14" spans="1:7" x14ac:dyDescent="0.3">
      <c r="A14" s="196" t="s">
        <v>286</v>
      </c>
      <c r="B14" s="250"/>
      <c r="C14" s="250">
        <v>-16004724</v>
      </c>
      <c r="D14" s="250">
        <f>C14/1000</f>
        <v>-16004.724</v>
      </c>
    </row>
    <row r="15" spans="1:7" x14ac:dyDescent="0.3">
      <c r="A15" s="196" t="s">
        <v>287</v>
      </c>
      <c r="B15" s="250">
        <v>1544756</v>
      </c>
      <c r="C15" s="250">
        <f>B15*100</f>
        <v>154475600</v>
      </c>
      <c r="D15" s="250">
        <f>C15/1000</f>
        <v>154475.6</v>
      </c>
    </row>
    <row r="16" spans="1:7" x14ac:dyDescent="0.3">
      <c r="A16" s="196" t="s">
        <v>288</v>
      </c>
      <c r="B16" s="250"/>
      <c r="C16" s="250">
        <f>165926065</f>
        <v>165926065</v>
      </c>
      <c r="D16" s="250">
        <f>C16/1000</f>
        <v>165926.065</v>
      </c>
    </row>
    <row r="17" spans="1:4" x14ac:dyDescent="0.3">
      <c r="A17" s="196" t="s">
        <v>289</v>
      </c>
      <c r="B17" s="250"/>
      <c r="C17" s="250">
        <v>-4554306</v>
      </c>
      <c r="D17" s="250">
        <f>C17/1000</f>
        <v>-4554.3059999999996</v>
      </c>
    </row>
  </sheetData>
  <pageMargins left="0.7" right="0.7" top="0.75" bottom="0.75" header="0.3" footer="0.3"/>
  <pageSetup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view="pageBreakPreview" topLeftCell="A11" zoomScale="60" zoomScaleNormal="100" workbookViewId="0">
      <selection activeCell="F10" sqref="F10"/>
    </sheetView>
  </sheetViews>
  <sheetFormatPr defaultColWidth="8.85546875" defaultRowHeight="15" x14ac:dyDescent="0.3"/>
  <cols>
    <col min="1" max="1" width="23.140625" style="6" customWidth="1"/>
    <col min="2" max="2" width="37.140625" style="6" customWidth="1"/>
    <col min="3" max="3" width="20.7109375" style="6" bestFit="1" customWidth="1"/>
    <col min="4" max="4" width="31.42578125" style="6" customWidth="1"/>
    <col min="5" max="5" width="19.85546875" style="6" bestFit="1" customWidth="1"/>
    <col min="6" max="8" width="8.85546875" style="6"/>
    <col min="9" max="9" width="19.28515625" style="6" customWidth="1"/>
    <col min="10" max="16384" width="8.85546875" style="6"/>
  </cols>
  <sheetData>
    <row r="1" spans="1:12" x14ac:dyDescent="0.3">
      <c r="A1" s="330" t="s">
        <v>77</v>
      </c>
      <c r="B1" s="330"/>
      <c r="C1" s="330"/>
      <c r="D1" s="330"/>
      <c r="E1" s="330"/>
    </row>
    <row r="2" spans="1:12" x14ac:dyDescent="0.3">
      <c r="A2" s="153"/>
      <c r="B2" s="154" t="s">
        <v>309</v>
      </c>
      <c r="C2" s="154" t="s">
        <v>78</v>
      </c>
      <c r="D2" s="154" t="s">
        <v>79</v>
      </c>
      <c r="E2" s="154" t="s">
        <v>80</v>
      </c>
    </row>
    <row r="3" spans="1:12" x14ac:dyDescent="0.3">
      <c r="A3" s="155" t="s">
        <v>81</v>
      </c>
      <c r="B3" s="156">
        <v>32</v>
      </c>
      <c r="C3" s="157">
        <v>9</v>
      </c>
      <c r="D3" s="157">
        <v>13</v>
      </c>
      <c r="E3" s="157">
        <v>5</v>
      </c>
    </row>
    <row r="4" spans="1:12" x14ac:dyDescent="0.3">
      <c r="A4" s="158" t="s">
        <v>82</v>
      </c>
      <c r="B4" s="130"/>
      <c r="C4" s="159">
        <f>C3/B3</f>
        <v>0.28125</v>
      </c>
      <c r="D4" s="159"/>
      <c r="E4" s="159">
        <f>E3/D3</f>
        <v>0.38461538461538464</v>
      </c>
    </row>
    <row r="5" spans="1:12" x14ac:dyDescent="0.3">
      <c r="A5" s="158"/>
      <c r="B5" s="130"/>
      <c r="C5" s="159"/>
      <c r="D5" s="159"/>
      <c r="E5" s="159"/>
    </row>
    <row r="6" spans="1:12" ht="12.75" customHeight="1" x14ac:dyDescent="0.3">
      <c r="A6" s="158" t="s">
        <v>83</v>
      </c>
      <c r="B6" s="130">
        <v>43</v>
      </c>
      <c r="C6" s="160">
        <v>20</v>
      </c>
      <c r="D6" s="160">
        <v>19</v>
      </c>
      <c r="E6" s="160">
        <v>9</v>
      </c>
    </row>
    <row r="7" spans="1:12" ht="12.75" customHeight="1" x14ac:dyDescent="0.3">
      <c r="A7" s="158" t="s">
        <v>84</v>
      </c>
      <c r="B7" s="130"/>
      <c r="C7" s="159">
        <f>C6/B6</f>
        <v>0.46511627906976744</v>
      </c>
      <c r="D7" s="159"/>
      <c r="E7" s="159">
        <f>E6/D6</f>
        <v>0.47368421052631576</v>
      </c>
      <c r="H7" s="8"/>
      <c r="I7" s="88"/>
      <c r="J7" s="88"/>
      <c r="K7" s="88"/>
      <c r="L7" s="88"/>
    </row>
    <row r="8" spans="1:12" ht="12.75" customHeight="1" x14ac:dyDescent="0.3">
      <c r="A8" s="158"/>
      <c r="B8" s="130"/>
      <c r="C8" s="159"/>
      <c r="D8" s="159"/>
      <c r="E8" s="159"/>
    </row>
    <row r="9" spans="1:12" x14ac:dyDescent="0.3">
      <c r="A9" s="158" t="s">
        <v>96</v>
      </c>
      <c r="B9" s="130">
        <v>57</v>
      </c>
      <c r="C9" s="161">
        <v>36</v>
      </c>
      <c r="D9" s="161">
        <v>21</v>
      </c>
      <c r="E9" s="161">
        <v>12</v>
      </c>
    </row>
    <row r="10" spans="1:12" x14ac:dyDescent="0.3">
      <c r="A10" s="158" t="s">
        <v>97</v>
      </c>
      <c r="B10" s="130"/>
      <c r="C10" s="159">
        <f>C9/B9</f>
        <v>0.63157894736842102</v>
      </c>
      <c r="D10" s="159"/>
      <c r="E10" s="159">
        <f>E9/D9</f>
        <v>0.5714285714285714</v>
      </c>
    </row>
    <row r="11" spans="1:12" x14ac:dyDescent="0.3">
      <c r="A11" s="158"/>
      <c r="B11" s="130"/>
      <c r="C11" s="159"/>
      <c r="D11" s="159"/>
      <c r="E11" s="159"/>
    </row>
    <row r="12" spans="1:12" x14ac:dyDescent="0.3">
      <c r="A12" s="158" t="s">
        <v>116</v>
      </c>
      <c r="B12" s="130">
        <v>63</v>
      </c>
      <c r="C12" s="161">
        <v>23</v>
      </c>
      <c r="D12" s="161">
        <v>31</v>
      </c>
      <c r="E12" s="161">
        <v>13</v>
      </c>
      <c r="F12" s="162"/>
    </row>
    <row r="13" spans="1:12" x14ac:dyDescent="0.3">
      <c r="A13" s="158" t="s">
        <v>117</v>
      </c>
      <c r="B13" s="130"/>
      <c r="C13" s="159">
        <f>C12/B12</f>
        <v>0.36507936507936506</v>
      </c>
      <c r="D13" s="159"/>
      <c r="E13" s="159">
        <f>E12/D12</f>
        <v>0.41935483870967744</v>
      </c>
    </row>
    <row r="14" spans="1:12" x14ac:dyDescent="0.3">
      <c r="A14" s="158"/>
      <c r="B14" s="130"/>
      <c r="C14" s="159"/>
      <c r="D14" s="163"/>
      <c r="E14" s="163"/>
    </row>
    <row r="15" spans="1:12" x14ac:dyDescent="0.3">
      <c r="A15" s="158" t="s">
        <v>127</v>
      </c>
      <c r="B15" s="164">
        <v>53</v>
      </c>
      <c r="C15" s="165">
        <v>23</v>
      </c>
      <c r="D15" s="165">
        <v>19</v>
      </c>
      <c r="E15" s="165">
        <v>9</v>
      </c>
    </row>
    <row r="16" spans="1:12" x14ac:dyDescent="0.3">
      <c r="A16" s="158" t="s">
        <v>131</v>
      </c>
      <c r="B16" s="130"/>
      <c r="C16" s="159">
        <f>C15/B15</f>
        <v>0.43396226415094341</v>
      </c>
      <c r="D16" s="163"/>
      <c r="E16" s="159">
        <f>E15/D15</f>
        <v>0.47368421052631576</v>
      </c>
    </row>
    <row r="17" spans="1:12" x14ac:dyDescent="0.3">
      <c r="A17" s="158"/>
      <c r="B17" s="130"/>
      <c r="C17" s="159"/>
      <c r="D17" s="163"/>
      <c r="E17" s="159"/>
    </row>
    <row r="18" spans="1:12" x14ac:dyDescent="0.3">
      <c r="A18" s="158" t="s">
        <v>136</v>
      </c>
      <c r="B18" s="164">
        <v>27</v>
      </c>
      <c r="C18" s="165">
        <v>21</v>
      </c>
      <c r="D18" s="165">
        <v>13</v>
      </c>
      <c r="E18" s="165">
        <v>12</v>
      </c>
    </row>
    <row r="19" spans="1:12" x14ac:dyDescent="0.3">
      <c r="A19" s="158" t="s">
        <v>137</v>
      </c>
      <c r="B19" s="130"/>
      <c r="C19" s="159">
        <f>C18/B18</f>
        <v>0.77777777777777779</v>
      </c>
      <c r="D19" s="163"/>
      <c r="E19" s="159">
        <f>E18/D18</f>
        <v>0.92307692307692313</v>
      </c>
      <c r="K19" s="166"/>
      <c r="L19" s="166"/>
    </row>
    <row r="20" spans="1:12" x14ac:dyDescent="0.3">
      <c r="A20" s="158"/>
      <c r="B20" s="130"/>
      <c r="C20" s="159"/>
      <c r="D20" s="163"/>
      <c r="E20" s="159"/>
      <c r="K20" s="166"/>
      <c r="L20" s="166"/>
    </row>
    <row r="21" spans="1:12" x14ac:dyDescent="0.3">
      <c r="A21" s="158" t="s">
        <v>174</v>
      </c>
      <c r="B21" s="130">
        <v>50</v>
      </c>
      <c r="C21" s="161">
        <v>33</v>
      </c>
      <c r="D21" s="161">
        <v>30</v>
      </c>
      <c r="E21" s="161">
        <v>20</v>
      </c>
      <c r="K21" s="166"/>
      <c r="L21" s="166"/>
    </row>
    <row r="22" spans="1:12" x14ac:dyDescent="0.3">
      <c r="A22" s="158" t="s">
        <v>175</v>
      </c>
      <c r="B22" s="130"/>
      <c r="C22" s="159">
        <f>C21/B21</f>
        <v>0.66</v>
      </c>
      <c r="D22" s="163"/>
      <c r="E22" s="159">
        <f>E21/D21</f>
        <v>0.66666666666666663</v>
      </c>
      <c r="K22" s="166"/>
      <c r="L22" s="166"/>
    </row>
    <row r="23" spans="1:12" x14ac:dyDescent="0.3">
      <c r="A23" s="158"/>
      <c r="B23" s="130"/>
      <c r="C23" s="159"/>
      <c r="D23" s="163"/>
      <c r="E23" s="159"/>
      <c r="K23" s="166"/>
      <c r="L23" s="166"/>
    </row>
    <row r="24" spans="1:12" x14ac:dyDescent="0.3">
      <c r="A24" s="198" t="s">
        <v>282</v>
      </c>
      <c r="B24" s="197">
        <v>65</v>
      </c>
      <c r="C24" s="200">
        <v>39</v>
      </c>
      <c r="D24" s="200">
        <v>43</v>
      </c>
      <c r="E24" s="200">
        <v>22</v>
      </c>
      <c r="F24" s="6" t="s">
        <v>291</v>
      </c>
      <c r="G24" s="166"/>
      <c r="K24" s="166"/>
      <c r="L24" s="166"/>
    </row>
    <row r="25" spans="1:12" x14ac:dyDescent="0.3">
      <c r="A25" s="198" t="s">
        <v>283</v>
      </c>
      <c r="B25" s="197"/>
      <c r="C25" s="199">
        <f>C24/B24</f>
        <v>0.6</v>
      </c>
      <c r="D25" s="201"/>
      <c r="E25" s="199">
        <f>E24/D24</f>
        <v>0.51162790697674421</v>
      </c>
    </row>
    <row r="27" spans="1:12" ht="17.25" x14ac:dyDescent="0.35">
      <c r="A27" s="334" t="s">
        <v>187</v>
      </c>
      <c r="B27" s="335"/>
      <c r="C27" s="335"/>
      <c r="D27" s="336"/>
    </row>
    <row r="28" spans="1:12" x14ac:dyDescent="0.3">
      <c r="A28" s="337" t="s">
        <v>167</v>
      </c>
      <c r="B28" s="338"/>
      <c r="C28" s="338"/>
      <c r="D28" s="339"/>
    </row>
    <row r="29" spans="1:12" ht="99.95" customHeight="1" x14ac:dyDescent="0.3">
      <c r="A29" s="343" t="s">
        <v>160</v>
      </c>
      <c r="B29" s="343"/>
      <c r="C29" s="343"/>
      <c r="D29" s="344"/>
    </row>
    <row r="30" spans="1:12" x14ac:dyDescent="0.3">
      <c r="A30" s="342" t="s">
        <v>141</v>
      </c>
      <c r="B30" s="342"/>
      <c r="C30" s="342"/>
      <c r="D30" s="342"/>
    </row>
    <row r="31" spans="1:12" x14ac:dyDescent="0.3">
      <c r="A31" s="77" t="s">
        <v>161</v>
      </c>
      <c r="B31" s="77"/>
      <c r="C31" s="77"/>
      <c r="D31" s="77"/>
    </row>
    <row r="32" spans="1:12" x14ac:dyDescent="0.3">
      <c r="A32" s="327" t="s">
        <v>142</v>
      </c>
      <c r="B32" s="328"/>
      <c r="C32" s="328"/>
      <c r="D32" s="329"/>
    </row>
    <row r="33" spans="1:6" ht="30" customHeight="1" x14ac:dyDescent="0.3">
      <c r="A33" s="323" t="s">
        <v>303</v>
      </c>
      <c r="B33" s="323"/>
      <c r="C33" s="323"/>
      <c r="D33" s="323"/>
    </row>
    <row r="34" spans="1:6" ht="50.1" customHeight="1" x14ac:dyDescent="0.3">
      <c r="A34" s="340" t="s">
        <v>162</v>
      </c>
      <c r="B34" s="341"/>
      <c r="C34" s="341"/>
      <c r="D34" s="341"/>
    </row>
    <row r="35" spans="1:6" ht="50.1" customHeight="1" x14ac:dyDescent="0.3">
      <c r="A35" s="340" t="s">
        <v>163</v>
      </c>
      <c r="B35" s="341"/>
      <c r="C35" s="341"/>
      <c r="D35" s="341"/>
    </row>
    <row r="36" spans="1:6" ht="39.950000000000003" customHeight="1" x14ac:dyDescent="0.3">
      <c r="A36" s="340" t="s">
        <v>164</v>
      </c>
      <c r="B36" s="341"/>
      <c r="C36" s="341"/>
      <c r="D36" s="341"/>
    </row>
    <row r="37" spans="1:6" x14ac:dyDescent="0.3">
      <c r="A37" s="331" t="s">
        <v>165</v>
      </c>
      <c r="B37" s="332"/>
      <c r="C37" s="332"/>
      <c r="D37" s="333"/>
      <c r="E37" s="62"/>
      <c r="F37" s="62"/>
    </row>
    <row r="38" spans="1:6" x14ac:dyDescent="0.3">
      <c r="A38" s="327" t="s">
        <v>143</v>
      </c>
      <c r="B38" s="328"/>
      <c r="C38" s="328"/>
      <c r="D38" s="329"/>
    </row>
    <row r="39" spans="1:6" x14ac:dyDescent="0.3">
      <c r="A39" s="327" t="s">
        <v>144</v>
      </c>
      <c r="B39" s="328"/>
      <c r="C39" s="328"/>
      <c r="D39" s="329"/>
    </row>
    <row r="40" spans="1:6" x14ac:dyDescent="0.3">
      <c r="A40" s="327" t="s">
        <v>145</v>
      </c>
      <c r="B40" s="328"/>
      <c r="C40" s="328"/>
      <c r="D40" s="329"/>
    </row>
    <row r="41" spans="1:6" x14ac:dyDescent="0.3">
      <c r="A41" s="327" t="s">
        <v>146</v>
      </c>
      <c r="B41" s="328"/>
      <c r="C41" s="328"/>
      <c r="D41" s="329"/>
    </row>
    <row r="42" spans="1:6" x14ac:dyDescent="0.3">
      <c r="A42" s="327" t="s">
        <v>166</v>
      </c>
      <c r="B42" s="328"/>
      <c r="C42" s="328"/>
      <c r="D42" s="329"/>
    </row>
    <row r="43" spans="1:6" x14ac:dyDescent="0.3">
      <c r="A43" s="327" t="s">
        <v>147</v>
      </c>
      <c r="B43" s="328"/>
      <c r="C43" s="328"/>
      <c r="D43" s="329"/>
    </row>
    <row r="44" spans="1:6" x14ac:dyDescent="0.3">
      <c r="A44" s="327" t="s">
        <v>148</v>
      </c>
      <c r="B44" s="328"/>
      <c r="C44" s="328"/>
      <c r="D44" s="329"/>
    </row>
    <row r="45" spans="1:6" x14ac:dyDescent="0.3">
      <c r="A45" s="327" t="s">
        <v>149</v>
      </c>
      <c r="B45" s="328"/>
      <c r="C45" s="328"/>
      <c r="D45" s="329"/>
    </row>
    <row r="46" spans="1:6" x14ac:dyDescent="0.3">
      <c r="A46" s="327" t="s">
        <v>150</v>
      </c>
      <c r="B46" s="328"/>
      <c r="C46" s="328"/>
      <c r="D46" s="329"/>
    </row>
    <row r="47" spans="1:6" x14ac:dyDescent="0.3">
      <c r="A47" s="327" t="s">
        <v>151</v>
      </c>
      <c r="B47" s="328"/>
      <c r="C47" s="328"/>
      <c r="D47" s="329"/>
    </row>
    <row r="48" spans="1:6" x14ac:dyDescent="0.3">
      <c r="A48" s="327" t="s">
        <v>152</v>
      </c>
      <c r="B48" s="328"/>
      <c r="C48" s="328"/>
      <c r="D48" s="329"/>
    </row>
    <row r="49" spans="1:4" x14ac:dyDescent="0.3">
      <c r="A49" s="327" t="s">
        <v>153</v>
      </c>
      <c r="B49" s="328"/>
      <c r="C49" s="328"/>
      <c r="D49" s="329"/>
    </row>
    <row r="50" spans="1:4" ht="39.950000000000003" customHeight="1" x14ac:dyDescent="0.3">
      <c r="A50" s="345" t="s">
        <v>154</v>
      </c>
      <c r="B50" s="345"/>
      <c r="C50" s="345"/>
      <c r="D50" s="345"/>
    </row>
    <row r="51" spans="1:4" x14ac:dyDescent="0.3">
      <c r="A51" s="324" t="s">
        <v>155</v>
      </c>
      <c r="B51" s="325"/>
      <c r="C51" s="325"/>
      <c r="D51" s="326"/>
    </row>
    <row r="52" spans="1:4" x14ac:dyDescent="0.3">
      <c r="A52" s="327" t="s">
        <v>156</v>
      </c>
      <c r="B52" s="328"/>
      <c r="C52" s="328"/>
      <c r="D52" s="329"/>
    </row>
    <row r="53" spans="1:4" x14ac:dyDescent="0.3">
      <c r="A53" s="327" t="s">
        <v>157</v>
      </c>
      <c r="B53" s="328"/>
      <c r="C53" s="328"/>
      <c r="D53" s="329"/>
    </row>
    <row r="54" spans="1:4" x14ac:dyDescent="0.3">
      <c r="A54" s="327" t="s">
        <v>168</v>
      </c>
      <c r="B54" s="328"/>
      <c r="C54" s="328"/>
      <c r="D54" s="329"/>
    </row>
    <row r="55" spans="1:4" x14ac:dyDescent="0.3">
      <c r="A55" s="327" t="s">
        <v>158</v>
      </c>
      <c r="B55" s="328"/>
      <c r="C55" s="328"/>
      <c r="D55" s="329"/>
    </row>
    <row r="56" spans="1:4" ht="30" customHeight="1" x14ac:dyDescent="0.3">
      <c r="A56" s="323" t="s">
        <v>159</v>
      </c>
      <c r="B56" s="323"/>
      <c r="C56" s="323"/>
      <c r="D56" s="323"/>
    </row>
    <row r="57" spans="1:4" x14ac:dyDescent="0.3">
      <c r="A57" s="62"/>
      <c r="B57" s="62"/>
      <c r="C57" s="62"/>
      <c r="D57" s="62"/>
    </row>
    <row r="58" spans="1:4" x14ac:dyDescent="0.3">
      <c r="A58" s="62"/>
      <c r="B58" s="62"/>
      <c r="C58" s="62"/>
      <c r="D58" s="62"/>
    </row>
  </sheetData>
  <mergeCells count="30">
    <mergeCell ref="A42:D42"/>
    <mergeCell ref="A50:D50"/>
    <mergeCell ref="A38:D38"/>
    <mergeCell ref="A39:D39"/>
    <mergeCell ref="A40:D40"/>
    <mergeCell ref="A41:D41"/>
    <mergeCell ref="A43:D43"/>
    <mergeCell ref="A44:D44"/>
    <mergeCell ref="A45:D45"/>
    <mergeCell ref="A46:D46"/>
    <mergeCell ref="A47:D47"/>
    <mergeCell ref="A48:D48"/>
    <mergeCell ref="A49:D49"/>
    <mergeCell ref="A1:E1"/>
    <mergeCell ref="A37:D37"/>
    <mergeCell ref="A27:D27"/>
    <mergeCell ref="A28:D28"/>
    <mergeCell ref="A34:D34"/>
    <mergeCell ref="A35:D35"/>
    <mergeCell ref="A36:D36"/>
    <mergeCell ref="A30:D30"/>
    <mergeCell ref="A33:D33"/>
    <mergeCell ref="A32:D32"/>
    <mergeCell ref="A29:D29"/>
    <mergeCell ref="A56:D56"/>
    <mergeCell ref="A51:D51"/>
    <mergeCell ref="A52:D52"/>
    <mergeCell ref="A53:D53"/>
    <mergeCell ref="A54:D54"/>
    <mergeCell ref="A55:D55"/>
  </mergeCells>
  <phoneticPr fontId="11" type="noConversion"/>
  <printOptions horizontalCentered="1"/>
  <pageMargins left="0.75" right="0.75" top="1" bottom="1" header="0.5" footer="0.5"/>
  <pageSetup scale="67" fitToHeight="2" orientation="portrait" r:id="rId1"/>
  <headerFooter alignWithMargins="0"/>
  <rowBreaks count="1" manualBreakCount="1">
    <brk id="2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view="pageBreakPreview" zoomScale="60" zoomScaleNormal="100" workbookViewId="0">
      <selection activeCell="F10" sqref="F10"/>
    </sheetView>
  </sheetViews>
  <sheetFormatPr defaultColWidth="9.140625" defaultRowHeight="15" x14ac:dyDescent="0.3"/>
  <cols>
    <col min="1" max="1" width="85.7109375" style="170" customWidth="1"/>
    <col min="2" max="16384" width="9.140625" style="170"/>
  </cols>
  <sheetData>
    <row r="1" spans="1:5" x14ac:dyDescent="0.3">
      <c r="A1" s="169" t="s">
        <v>85</v>
      </c>
    </row>
    <row r="2" spans="1:5" x14ac:dyDescent="0.3">
      <c r="A2" s="21"/>
      <c r="B2" s="171"/>
      <c r="C2" s="171"/>
      <c r="D2" s="171"/>
      <c r="E2" s="171"/>
    </row>
    <row r="3" spans="1:5" x14ac:dyDescent="0.3">
      <c r="A3" s="172" t="s">
        <v>86</v>
      </c>
      <c r="B3" s="171"/>
      <c r="C3" s="171"/>
      <c r="D3" s="171"/>
      <c r="E3" s="171"/>
    </row>
    <row r="4" spans="1:5" x14ac:dyDescent="0.3">
      <c r="A4" s="173" t="s">
        <v>87</v>
      </c>
      <c r="B4" s="171"/>
      <c r="C4" s="171"/>
      <c r="D4" s="171"/>
      <c r="E4" s="171"/>
    </row>
    <row r="5" spans="1:5" x14ac:dyDescent="0.3">
      <c r="A5" s="173" t="s">
        <v>88</v>
      </c>
    </row>
    <row r="6" spans="1:5" x14ac:dyDescent="0.3">
      <c r="A6" s="173" t="s">
        <v>89</v>
      </c>
    </row>
    <row r="7" spans="1:5" ht="30" x14ac:dyDescent="0.3">
      <c r="A7" s="173" t="s">
        <v>176</v>
      </c>
    </row>
    <row r="8" spans="1:5" x14ac:dyDescent="0.3">
      <c r="A8" s="173" t="s">
        <v>90</v>
      </c>
    </row>
    <row r="9" spans="1:5" x14ac:dyDescent="0.3">
      <c r="A9" s="173" t="s">
        <v>91</v>
      </c>
    </row>
    <row r="10" spans="1:5" x14ac:dyDescent="0.3">
      <c r="A10" s="173"/>
    </row>
    <row r="11" spans="1:5" ht="30" x14ac:dyDescent="0.3">
      <c r="A11" s="174" t="s">
        <v>1</v>
      </c>
    </row>
    <row r="12" spans="1:5" ht="30" x14ac:dyDescent="0.3">
      <c r="A12" s="173" t="s">
        <v>92</v>
      </c>
    </row>
    <row r="13" spans="1:5" ht="45" x14ac:dyDescent="0.3">
      <c r="A13" s="173" t="s">
        <v>93</v>
      </c>
    </row>
    <row r="14" spans="1:5" x14ac:dyDescent="0.3">
      <c r="A14" s="173" t="s">
        <v>94</v>
      </c>
    </row>
    <row r="15" spans="1:5" ht="30" x14ac:dyDescent="0.3">
      <c r="A15" s="173" t="s">
        <v>193</v>
      </c>
    </row>
    <row r="16" spans="1:5" x14ac:dyDescent="0.3">
      <c r="A16" s="85"/>
    </row>
    <row r="17" spans="1:1" ht="30" x14ac:dyDescent="0.3">
      <c r="A17" s="174" t="s">
        <v>0</v>
      </c>
    </row>
    <row r="18" spans="1:1" ht="60" x14ac:dyDescent="0.3">
      <c r="A18" s="175" t="s">
        <v>257</v>
      </c>
    </row>
    <row r="19" spans="1:1" ht="60" x14ac:dyDescent="0.3">
      <c r="A19" s="175" t="s">
        <v>258</v>
      </c>
    </row>
    <row r="20" spans="1:1" ht="45" x14ac:dyDescent="0.3">
      <c r="A20" s="175" t="s">
        <v>305</v>
      </c>
    </row>
    <row r="21" spans="1:1" ht="30" x14ac:dyDescent="0.3">
      <c r="A21" s="175" t="s">
        <v>259</v>
      </c>
    </row>
    <row r="22" spans="1:1" ht="30" x14ac:dyDescent="0.3">
      <c r="A22" s="175" t="s">
        <v>260</v>
      </c>
    </row>
    <row r="23" spans="1:1" ht="105" x14ac:dyDescent="0.3">
      <c r="A23" s="175" t="s">
        <v>306</v>
      </c>
    </row>
    <row r="24" spans="1:1" x14ac:dyDescent="0.3">
      <c r="A24" s="175" t="s">
        <v>261</v>
      </c>
    </row>
    <row r="25" spans="1:1" x14ac:dyDescent="0.3">
      <c r="A25" s="175" t="s">
        <v>262</v>
      </c>
    </row>
    <row r="26" spans="1:1" ht="30" x14ac:dyDescent="0.3">
      <c r="A26" s="175" t="s">
        <v>307</v>
      </c>
    </row>
    <row r="27" spans="1:1" ht="30" x14ac:dyDescent="0.3">
      <c r="A27" s="175" t="s">
        <v>263</v>
      </c>
    </row>
    <row r="28" spans="1:1" ht="30" x14ac:dyDescent="0.3">
      <c r="A28" s="175" t="s">
        <v>264</v>
      </c>
    </row>
    <row r="29" spans="1:1" ht="30" x14ac:dyDescent="0.3">
      <c r="A29" s="175" t="s">
        <v>308</v>
      </c>
    </row>
  </sheetData>
  <phoneticPr fontId="11" type="noConversion"/>
  <printOptions horizontalCentered="1"/>
  <pageMargins left="0.75" right="0.75" top="1" bottom="1" header="0.5" footer="0.5"/>
  <pageSetup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Summary (Utah)</vt:lpstr>
      <vt:lpstr>Summary (Total Company)</vt:lpstr>
      <vt:lpstr>REC Purchases </vt:lpstr>
      <vt:lpstr>Available Fund Projects</vt:lpstr>
      <vt:lpstr>Project reconciliation </vt:lpstr>
      <vt:lpstr>REC Position Reconciliation </vt:lpstr>
      <vt:lpstr>Avail Fund Details</vt:lpstr>
      <vt:lpstr>Avail Fund Criteria</vt:lpstr>
      <vt:lpstr>'Avail Fund Details'!Print_Area</vt:lpstr>
      <vt:lpstr>'Available Fund Projects'!Print_Area</vt:lpstr>
      <vt:lpstr>'Summary (Utah)'!Print_Area</vt:lpstr>
      <vt:lpstr>'Available Fund Projects'!Print_Titles</vt:lpstr>
      <vt:lpstr>'Summary (Utah)'!Print_Titles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2010-03-31T05:32:05Z</dcterms:created>
  <dcterms:modified xsi:type="dcterms:W3CDTF">2014-03-31T19:52:21Z</dcterms:modified>
</cp:coreProperties>
</file>